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13_ncr:1_{BD42AC59-0ECE-4E01-91F3-4E1465931B62}" xr6:coauthVersionLast="47" xr6:coauthVersionMax="47" xr10:uidLastSave="{00000000-0000-0000-0000-000000000000}"/>
  <bookViews>
    <workbookView xWindow="28680" yWindow="-120" windowWidth="29040" windowHeight="17640" tabRatio="772" activeTab="1" xr2:uid="{00000000-000D-0000-FFFF-FFFF00000000}"/>
  </bookViews>
  <sheets>
    <sheet name="Informationen" sheetId="28" r:id="rId1"/>
    <sheet name="Eingabe" sheetId="12" r:id="rId2"/>
    <sheet name="Resultate" sheetId="25" r:id="rId3"/>
    <sheet name="Substanzdaten" sheetId="22" r:id="rId4"/>
    <sheet name="Dropdown" sheetId="27" state="hidden" r:id="rId5"/>
  </sheets>
  <definedNames>
    <definedName name="_xlnm._FilterDatabase" localSheetId="3" hidden="1">Substanzdaten!$A$7:$I$22</definedName>
    <definedName name="_xlnm.Print_Area" localSheetId="1">Eingabe!$A$1:$C$28</definedName>
    <definedName name="_xlnm.Print_Area" localSheetId="0">Informationen!$A$1:$B$22</definedName>
    <definedName name="_xlnm.Print_Area" localSheetId="2">Resultate!$A$1:$C$43</definedName>
    <definedName name="_xlnm.Print_Area" localSheetId="3">Substanzdaten!$A$1:$I$24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2" l="1"/>
  <c r="B11" i="12"/>
  <c r="B23" i="12" l="1"/>
  <c r="A2" i="25"/>
  <c r="A2" i="22"/>
  <c r="A2" i="12"/>
  <c r="B63" i="25" l="1"/>
  <c r="B62" i="25"/>
  <c r="A14" i="25" l="1"/>
  <c r="A29" i="25"/>
  <c r="D21" i="12"/>
  <c r="C21" i="12"/>
  <c r="B21" i="12"/>
  <c r="D16" i="12"/>
  <c r="C16" i="12"/>
  <c r="B16" i="12"/>
  <c r="C14" i="25"/>
  <c r="C7" i="25" s="1"/>
  <c r="C8" i="25"/>
  <c r="B8" i="25"/>
  <c r="A8" i="25"/>
  <c r="C29" i="25" l="1"/>
  <c r="A64" i="25" l="1"/>
  <c r="B64" i="25"/>
  <c r="A11" i="25" l="1"/>
  <c r="C53" i="25"/>
  <c r="B53" i="25"/>
  <c r="B12" i="25" s="1"/>
  <c r="A53" i="25"/>
  <c r="A12" i="25" s="1"/>
  <c r="A42" i="25" l="1"/>
  <c r="A63" i="25" l="1"/>
  <c r="A62" i="25"/>
  <c r="C60" i="25"/>
  <c r="C31" i="25" s="1"/>
  <c r="B60" i="25"/>
  <c r="B31" i="25" s="1"/>
  <c r="A60" i="25"/>
  <c r="A31" i="25" s="1"/>
  <c r="C61" i="25"/>
  <c r="B61" i="25"/>
  <c r="B34" i="25" s="1"/>
  <c r="A61" i="25"/>
  <c r="A34" i="25" s="1"/>
  <c r="C65" i="25"/>
  <c r="C40" i="25" s="1"/>
  <c r="B65" i="25"/>
  <c r="B40" i="25" s="1"/>
  <c r="A65" i="25"/>
  <c r="A40" i="25" s="1"/>
  <c r="C57" i="25"/>
  <c r="B57" i="25"/>
  <c r="A57" i="25"/>
  <c r="C56" i="25"/>
  <c r="B56" i="25"/>
  <c r="A56" i="25"/>
  <c r="A55" i="25"/>
  <c r="C52" i="25"/>
  <c r="B52" i="25"/>
  <c r="A52" i="25"/>
  <c r="C51" i="25"/>
  <c r="B51" i="25"/>
  <c r="A51" i="25"/>
  <c r="C50" i="25"/>
  <c r="B50" i="25"/>
  <c r="A50" i="25"/>
  <c r="C49" i="25"/>
  <c r="B49" i="25"/>
  <c r="A49" i="25"/>
  <c r="C48" i="25"/>
  <c r="B48" i="25"/>
  <c r="A48" i="25"/>
  <c r="C47" i="25"/>
  <c r="B47" i="25"/>
  <c r="A47" i="25"/>
  <c r="D14" i="25"/>
  <c r="B10" i="25" l="1"/>
  <c r="B58" i="25"/>
  <c r="B11" i="25" s="1"/>
  <c r="D29" i="25"/>
  <c r="D7" i="25"/>
  <c r="B32" i="25"/>
  <c r="B38" i="25"/>
  <c r="C34" i="25"/>
  <c r="C9" i="25"/>
  <c r="B9" i="25"/>
  <c r="A9" i="25"/>
  <c r="B16" i="25" l="1"/>
  <c r="B22" i="25"/>
  <c r="B24" i="25" s="1"/>
  <c r="B33" i="25"/>
  <c r="B35" i="25" s="1"/>
  <c r="B39" i="25"/>
  <c r="B41" i="25" s="1"/>
  <c r="B23" i="25" l="1"/>
  <c r="B26" i="25"/>
  <c r="B27" i="25"/>
  <c r="G8" i="22"/>
  <c r="B19" i="25"/>
  <c r="B18" i="25" l="1"/>
  <c r="B42" i="25" l="1"/>
  <c r="B43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I7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Belebtschlamm = activated slude (engl.)</t>
        </r>
      </text>
    </comment>
    <comment ref="F8" authorId="0" shapeId="0" xr:uid="{00000000-0006-0000-0300-000002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0.79 - 0.81 @ 0 - 20 °C [3]
echa</t>
        </r>
      </text>
    </comment>
    <comment ref="G8" authorId="0" shapeId="0" xr:uid="{00000000-0006-0000-0300-000003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LC50 (4 days) 5.54 - 8.12 g/L [4]
echa</t>
        </r>
      </text>
    </comment>
    <comment ref="H8" authorId="0" shapeId="0" xr:uid="{00000000-0006-0000-0300-000004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LC50 (24 h) 2.1 g/L [1]
echa</t>
        </r>
      </text>
    </comment>
    <comment ref="I8" authorId="0" shapeId="0" xr:uid="{00000000-0006-0000-0300-000005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EC50 (30 min) 61.15 g/L [1]
echa</t>
        </r>
      </text>
    </comment>
    <comment ref="B9" authorId="0" shapeId="0" xr:uid="{00000000-0006-0000-0300-000006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ECHA: 7664-41-7</t>
        </r>
      </text>
    </comment>
    <comment ref="G9" authorId="0" shapeId="0" xr:uid="{00000000-0006-0000-0300-000007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echa
LC50 (4 days) 750 - 109 000 µg/L
CAS: 7664-41-7</t>
        </r>
      </text>
    </comment>
    <comment ref="H9" authorId="0" shapeId="0" xr:uid="{00000000-0006-0000-0300-000008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echa
LC50 (48 h) 101 mg/L
CAS: 7664-41-7</t>
        </r>
      </text>
    </comment>
    <comment ref="I9" authorId="0" shapeId="0" xr:uid="{00000000-0006-0000-0300-000009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echa
EC50 (18 days) 2.7 g/L [1]
Cyanobakteria, Algen
CAS: 7664-41-7</t>
        </r>
      </text>
    </comment>
    <comment ref="E10" authorId="0" shapeId="0" xr:uid="{00000000-0006-0000-0300-00000A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Normalbenzin, Superbenzin</t>
        </r>
      </text>
    </comment>
    <comment ref="F10" authorId="0" shapeId="0" xr:uid="{00000000-0006-0000-0300-00000B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echa
0.62 - 0.88 @ 15 °C [1]</t>
        </r>
      </text>
    </comment>
    <comment ref="G10" authorId="0" shapeId="0" xr:uid="{00000000-0006-0000-0300-00000C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LL50 (4 days) 8.2 - 10 mg/L [2]
echa
</t>
        </r>
      </text>
    </comment>
    <comment ref="H10" authorId="0" shapeId="0" xr:uid="{00000000-0006-0000-0300-00000D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EL50 (48 h) 4.5 mg/L [1]
echa</t>
        </r>
      </text>
    </comment>
    <comment ref="I10" authorId="0" shapeId="0" xr:uid="{00000000-0006-0000-0300-00000E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EL50 (4 days) 3.7 mg/L [1]
echa
microorganims
EC50 (40 h) 15.41 mg/L [1]</t>
        </r>
      </text>
    </comment>
    <comment ref="F11" authorId="0" shapeId="0" xr:uid="{00000000-0006-0000-0300-00000F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echa
0.69 @ 20 °C [2]</t>
        </r>
      </text>
    </comment>
    <comment ref="G11" authorId="0" shapeId="0" xr:uid="{00000000-0006-0000-0300-000010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echa
LC50 (4 days) 25 µg/L [2]</t>
        </r>
      </text>
    </comment>
    <comment ref="H11" authorId="0" shapeId="0" xr:uid="{00000000-0006-0000-0300-000011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echa
EC50 (48 h) 130 µg/L [3]</t>
        </r>
      </text>
    </comment>
    <comment ref="I11" authorId="0" shapeId="0" xr:uid="{00000000-0006-0000-0300-000012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echa
LOEC (4 days) 160 µg/L [2]
algen cyano
</t>
        </r>
      </text>
    </comment>
    <comment ref="F12" authorId="0" shapeId="0" xr:uid="{00000000-0006-0000-0300-000013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0.8 - 0.91 g/cm³ @ 15 °C [1]
echa</t>
        </r>
      </text>
    </comment>
    <comment ref="G12" authorId="0" shapeId="0" xr:uid="{00000000-0006-0000-0300-000014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LL50 (24 h) 100 - 1 000 mg/L [2]
echa</t>
        </r>
      </text>
    </comment>
    <comment ref="H12" authorId="0" shapeId="0" xr:uid="{00000000-0006-0000-0300-000015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EL50 (24 h) 180 - 1 000 mg/L [2]
echa
</t>
        </r>
      </text>
    </comment>
    <comment ref="I12" authorId="0" shapeId="0" xr:uid="{00000000-0006-0000-0300-000016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EL50 (72 h) 10 - 22 mg/L [2]
echa</t>
        </r>
      </text>
    </comment>
    <comment ref="F13" authorId="0" shapeId="0" xr:uid="{00000000-0006-0000-0300-000017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0.785 - 0.789 g/cm³ @ 20 - 25 °C [2]
echa
</t>
        </r>
      </text>
    </comment>
    <comment ref="G13" authorId="0" shapeId="0" xr:uid="{00000000-0006-0000-0300-000018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LC50 (4 days) 14.2 - 15.4 g/L [6]
echa</t>
        </r>
      </text>
    </comment>
    <comment ref="H13" authorId="0" shapeId="0" xr:uid="{00000000-0006-0000-0300-000019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EC50 (24 h) 10 g/L [1]
echa</t>
        </r>
      </text>
    </comment>
    <comment ref="I13" authorId="0" shapeId="0" xr:uid="{00000000-0006-0000-0300-00001A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echa
algen:
EC50 (4 days) 675 - 22 000 mg/L [4]
microorg:
EC50 (4 h) 5.8 g/L [2]</t>
        </r>
      </text>
    </comment>
    <comment ref="F14" authorId="0" shapeId="0" xr:uid="{00000000-0006-0000-0300-00001B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1.261 - 1.261 @ 20 °C [2]
echa</t>
        </r>
      </text>
    </comment>
    <comment ref="G14" authorId="0" shapeId="0" xr:uid="{00000000-0006-0000-0300-00001C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LC50 (4 days) 54 g/L [1]
echa</t>
        </r>
      </text>
    </comment>
    <comment ref="H14" authorId="0" shapeId="0" xr:uid="{00000000-0006-0000-0300-00001D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EC50 (24 h) 10 g/L [2]
echa</t>
        </r>
      </text>
    </comment>
    <comment ref="F15" authorId="0" shapeId="0" xr:uid="{00000000-0006-0000-0300-00001E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0.8 - 0.91 g/cm³ @ 15 °C [1]
echa</t>
        </r>
      </text>
    </comment>
    <comment ref="G15" authorId="0" shapeId="0" xr:uid="{00000000-0006-0000-0300-00001F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LL50 (24 h) 100 - 1 000 mg/L [2]
echa</t>
        </r>
      </text>
    </comment>
    <comment ref="H15" authorId="0" shapeId="0" xr:uid="{00000000-0006-0000-0300-000020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EL50 (24 h) 180 - 1 000 mg/L [2]
echa
</t>
        </r>
      </text>
    </comment>
    <comment ref="I15" authorId="0" shapeId="0" xr:uid="{00000000-0006-0000-0300-000021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EL50 (72 h) 10 - 22 mg/L [2]
echa</t>
        </r>
      </text>
    </comment>
    <comment ref="F16" authorId="0" shapeId="0" xr:uid="{00000000-0006-0000-0300-000022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0.69 g/cm³ @ 15 °C [1]
echa</t>
        </r>
      </text>
    </comment>
    <comment ref="G16" authorId="0" shapeId="0" xr:uid="{00000000-0006-0000-0300-000023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LL50 (4 days) 5.738 mg/L [1]
echa</t>
        </r>
      </text>
    </comment>
    <comment ref="H16" authorId="0" shapeId="0" xr:uid="{00000000-0006-0000-0300-000024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EC50 (48 h) 1.5 mg/L [1]
echa</t>
        </r>
      </text>
    </comment>
    <comment ref="I16" authorId="0" shapeId="0" xr:uid="{00000000-0006-0000-0300-000025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EL50 (72 h) 4.338 mg/L [1]
echa</t>
        </r>
      </text>
    </comment>
    <comment ref="F17" authorId="0" shapeId="0" xr:uid="{00000000-0006-0000-0300-000026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echa
0.661 @ 25 °C [3]</t>
        </r>
      </text>
    </comment>
    <comment ref="G17" authorId="0" shapeId="0" xr:uid="{00000000-0006-0000-0300-000027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LL50 (4 days) 12.51 mg/L [2]
echa
</t>
        </r>
      </text>
    </comment>
    <comment ref="H17" authorId="0" shapeId="0" xr:uid="{00000000-0006-0000-0300-000028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EL50 (48 h) 21.85 mg/L [2]
echa
</t>
        </r>
      </text>
    </comment>
    <comment ref="I17" authorId="0" shapeId="0" xr:uid="{00000000-0006-0000-0300-000029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echa
algen, cyano: EL50 (72 h) 9.285 mg/L [2]
micro: -</t>
        </r>
      </text>
    </comment>
    <comment ref="F18" authorId="0" shapeId="0" xr:uid="{00000000-0006-0000-0300-00002A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0.79 - 0.8 @ 20 °C [1]
echa</t>
        </r>
      </text>
    </comment>
    <comment ref="G18" authorId="0" shapeId="0" xr:uid="{00000000-0006-0000-0300-00002B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LC50 (4 days) 15.4 g/L [1]
echa</t>
        </r>
      </text>
    </comment>
    <comment ref="H18" authorId="0" shapeId="0" xr:uid="{00000000-0006-0000-0300-00002C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EC50 (4 days) 18.26 g/L [1]
echa</t>
        </r>
      </text>
    </comment>
    <comment ref="I18" authorId="0" shapeId="0" xr:uid="{00000000-0006-0000-0300-00002D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echa
algae: EC50 (4 days) 22 g/L [1]
microorg: IC50 (3 h) 1 g/L [1]</t>
        </r>
      </text>
    </comment>
    <comment ref="F19" authorId="0" shapeId="0" xr:uid="{00000000-0006-0000-0300-00002E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echa
0.86 - 0.88 g/cm³ @ 25 °C [2]</t>
        </r>
      </text>
    </comment>
    <comment ref="G19" authorId="0" shapeId="0" xr:uid="{00000000-0006-0000-0300-00002F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echa
LC50 (4 days) 2.6 - 8.4 mg/L [4]</t>
        </r>
      </text>
    </comment>
    <comment ref="H19" authorId="0" shapeId="0" xr:uid="{00000000-0006-0000-0300-000030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echa
IC50 (24 h) 1 - 4.7 mg/L [4]</t>
        </r>
      </text>
    </comment>
    <comment ref="I19" authorId="0" shapeId="0" xr:uid="{00000000-0006-0000-0300-000031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echa
algen, cyano: EC50 (73 h) 2.2 - 4.36 mg/L [2]
microorganisms:
NOEC (28 days) 16 - 16.2 mg/L [3]</t>
        </r>
      </text>
    </comment>
  </commentList>
</comments>
</file>

<file path=xl/sharedStrings.xml><?xml version="1.0" encoding="utf-8"?>
<sst xmlns="http://schemas.openxmlformats.org/spreadsheetml/2006/main" count="192" uniqueCount="129">
  <si>
    <t>[%]</t>
  </si>
  <si>
    <t>CAS-Nr.</t>
  </si>
  <si>
    <t>[kg]</t>
  </si>
  <si>
    <t>[l]</t>
  </si>
  <si>
    <t>[-]</t>
  </si>
  <si>
    <t xml:space="preserve"> -</t>
  </si>
  <si>
    <t>Volumen Biologie total</t>
  </si>
  <si>
    <t>Konzentration Wirkstoff in Biologie (alle Strassen)</t>
  </si>
  <si>
    <t>Verschmutztes Gewässervolumen total</t>
  </si>
  <si>
    <t>Eingeleitete Stoffmenge (Wirkstoffmenge) in Gewässer</t>
  </si>
  <si>
    <t>[kg/l], [g/ml]</t>
  </si>
  <si>
    <t>[mg/l]</t>
  </si>
  <si>
    <t>Dichte Stoff / Gemisch</t>
  </si>
  <si>
    <t>Totales Mischvolumen inkl. Biologie (alle Strassen)</t>
  </si>
  <si>
    <t>Bemerkungen</t>
  </si>
  <si>
    <t>Einheit</t>
  </si>
  <si>
    <t>Wert</t>
  </si>
  <si>
    <t>H-Sätze</t>
  </si>
  <si>
    <t>Eingaben gemäss Blatt "Eingabe"</t>
  </si>
  <si>
    <t>Abschätzung Lachengrösse auf Wasser</t>
  </si>
  <si>
    <t>Stoffname</t>
  </si>
  <si>
    <t>Blausäure</t>
  </si>
  <si>
    <t>Benzin</t>
  </si>
  <si>
    <t>Xylol</t>
  </si>
  <si>
    <t>Hexan</t>
  </si>
  <si>
    <t>Heptan</t>
  </si>
  <si>
    <t>Diesel</t>
  </si>
  <si>
    <t>Heizöl</t>
  </si>
  <si>
    <t>74-90-8</t>
  </si>
  <si>
    <t>1330-20-7</t>
  </si>
  <si>
    <t>8006-61-9</t>
  </si>
  <si>
    <t>68476-34-6</t>
  </si>
  <si>
    <t>Glycerin</t>
  </si>
  <si>
    <t>Aceton</t>
  </si>
  <si>
    <t>Methanol</t>
  </si>
  <si>
    <t>Ethanol</t>
  </si>
  <si>
    <t>Eingeleitetes Volumen in Kanalisation / Gewässer</t>
  </si>
  <si>
    <t>Dichte [g/ml]</t>
  </si>
  <si>
    <t xml:space="preserve">Fische (short term) [mg/l] </t>
  </si>
  <si>
    <t xml:space="preserve">Daphnien (short term, invertebr.) [mg/l] </t>
  </si>
  <si>
    <t>Einfüllen</t>
  </si>
  <si>
    <t>Zwischenresultat</t>
  </si>
  <si>
    <t>Resultat</t>
  </si>
  <si>
    <t>wasserlöslich</t>
  </si>
  <si>
    <t>MS [kg]</t>
  </si>
  <si>
    <t>keine MS</t>
  </si>
  <si>
    <t>Falls ja sind ggf. genauere Abklärungen notwendig</t>
  </si>
  <si>
    <t>Störfallwert</t>
  </si>
  <si>
    <t>Schwere Schädigung ab Störfallwert 0.3</t>
  </si>
  <si>
    <t>Verschmutztes Gewässeroberfläche</t>
  </si>
  <si>
    <t>Schwere Schädigung wegen Oberfläche?</t>
  </si>
  <si>
    <t>Eventueller Stoffrückhalt durch ARA</t>
  </si>
  <si>
    <t>Stoffkonzentration im Auslauf</t>
  </si>
  <si>
    <t>Mögliche schwere Schädigung Einleitgewässer nach ARA?</t>
  </si>
  <si>
    <t>Volumen Vorklärung total</t>
  </si>
  <si>
    <t>Bezeichnung Gebinde / Stoff / Gemisch</t>
  </si>
  <si>
    <t>Wasserlöslichkeit / Mischbarkeit</t>
  </si>
  <si>
    <t>Gebindevolumen (maximal)</t>
  </si>
  <si>
    <t>Stoffkonzentration im Gemisch (maximal)</t>
  </si>
  <si>
    <t>Schwere Schädigung?</t>
  </si>
  <si>
    <t>Konzentration [%]</t>
  </si>
  <si>
    <t>Volumen Nachklärung total</t>
  </si>
  <si>
    <t>Totales Mischvolumen inkl. Nachklärung (alle Strassen)</t>
  </si>
  <si>
    <t>Konzentration Wirkstoff in Nachklärung (alle Strassen)</t>
  </si>
  <si>
    <t>Überlastung Biologie der ARA aufgrund Toxizität zu erwarten?</t>
  </si>
  <si>
    <t>H400</t>
  </si>
  <si>
    <t>H410</t>
  </si>
  <si>
    <t>H411</t>
  </si>
  <si>
    <t>WGK</t>
  </si>
  <si>
    <t>Datenquelle LC50/EC50-Wert</t>
  </si>
  <si>
    <t>schwer wasserlöslich und aufschwimmend</t>
  </si>
  <si>
    <t>Abschätzung Lachenradius auf Wasser</t>
  </si>
  <si>
    <t>[m]</t>
  </si>
  <si>
    <t>Szenariospezifisch</t>
  </si>
  <si>
    <t>Szenariospezifisch. Abhängig von Situation (Umschlag, Lagerung, Brand --&gt; Löschwasser)</t>
  </si>
  <si>
    <t>Falls relevant. Separate Begründung notwendig.</t>
  </si>
  <si>
    <t>Dropdown oder eigener Eintrag</t>
  </si>
  <si>
    <t>Verknüpfung mit "Bezeichnung Gebinde / Stoff / Gemisch". Oder eigener Eintrag.</t>
  </si>
  <si>
    <t>Verknüpfung mit "Bezeichnung Gebinde / Stoff / Gemisch". Oder eigener Eintrag: z.B. ECHA, ECOTOX, GESTIS, Hazmat, Sicherheitsdatenblatt (Name, Datum)</t>
  </si>
  <si>
    <t>Kurzzeittoxizität für Daphnien (LC50/EC50)</t>
  </si>
  <si>
    <t>Kurzzeittoxizität für Fische (LC50/EC50)</t>
  </si>
  <si>
    <t>67-64-1</t>
  </si>
  <si>
    <t>67-56-1</t>
  </si>
  <si>
    <t>64-17-5</t>
  </si>
  <si>
    <t>110-54-3</t>
  </si>
  <si>
    <t>142-82-5</t>
  </si>
  <si>
    <t>68476-30-2</t>
  </si>
  <si>
    <t>56-81-5</t>
  </si>
  <si>
    <t>Ammoniak, 35%</t>
  </si>
  <si>
    <t>1336-21-6</t>
  </si>
  <si>
    <t>Hinweis an ARA. Kein Schadenindikator gemäss Störfallversordnung.</t>
  </si>
  <si>
    <t>ohne Nachklärung</t>
  </si>
  <si>
    <t>mit Nachklärung</t>
  </si>
  <si>
    <t>Ausmassabschätzung Umwelt - Resultate</t>
  </si>
  <si>
    <t>Farbcode:</t>
  </si>
  <si>
    <t>Allgemein</t>
  </si>
  <si>
    <t>Name des Szenarios</t>
  </si>
  <si>
    <t>Anwendung: Konservative Ausmassabschätzung bei einem Leckage- oder Löschwasser-Szenario bezüglich dem Schadenindikator "Umwelt" (Volumen und Fläche verunreinigte Gewässer) in Sinne der Störfallverordnung.</t>
  </si>
  <si>
    <t>Stoff / Gemisch in der ARA (Schmutzabwasserkanalisation)</t>
  </si>
  <si>
    <t>"Leckage Umschlagplatz 1"</t>
  </si>
  <si>
    <t>Stoff wasserlöslich: Abschätzung Ausmass Volumen verunreinigte Gewässer</t>
  </si>
  <si>
    <t>Stoff schwer wasserlöslich und aufschwimmend: Abschätzung Ausmass Fläche verunreinigte Gewässer</t>
  </si>
  <si>
    <t>Eigener Eintrag</t>
  </si>
  <si>
    <t>Minimalwert Toxizität (LC50/EC50)</t>
  </si>
  <si>
    <t>Kurzzeittoxizität Belebtschlamm (Bakterientox.) (IC50, ...)</t>
  </si>
  <si>
    <r>
      <t>[m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]</t>
    </r>
  </si>
  <si>
    <t>Informationen</t>
  </si>
  <si>
    <t>Bezeichnung Abwasserreinigungsanlage (ARA)</t>
  </si>
  <si>
    <t>Eigener Eintrag. Informationen gemäss Homepage ARA oder ggf. Rückfrage bei betriebe@bd.zh.ch</t>
  </si>
  <si>
    <t>Eigener Eintrag. Informationen gemäss Homepage ARA oder ggf.Rückfrage bei betriebe@bd.zh.ch</t>
  </si>
  <si>
    <t>Rückmeldungen und Fragen zu diesem Excelblatt bitte an: AWEL, Sektion Betrieblicher Umweltschutz und Störfallvorsorge (043 259 32 62, betriebe@bd.zh.ch)</t>
  </si>
  <si>
    <t>Hinweise</t>
  </si>
  <si>
    <t>Substanzdaten für die Eingabe</t>
  </si>
  <si>
    <t>Ausmassabschätzung Umwelt - Eingabe</t>
  </si>
  <si>
    <t>"ECHA"</t>
  </si>
  <si>
    <t>"Name ARA"</t>
  </si>
  <si>
    <t>ECHA, ECOTOX, GESTIS, Hazmat etc. oder Sicherheitsdatenblatt (Name, Datum). Ggf. eigener Eintrag. Quelle als Anhang anfügen.</t>
  </si>
  <si>
    <t>Stoff / Gemisch im Gewässer (Regenabwasserkanalisation oder Schmutzabwasserkanalisation mit Entlastungsmöglichkeit ins Gewässer)</t>
  </si>
  <si>
    <r>
      <t>[m</t>
    </r>
    <r>
      <rPr>
        <vertAlign val="superscript"/>
        <sz val="10.5"/>
        <color theme="1"/>
        <rFont val="Arial"/>
        <family val="2"/>
      </rPr>
      <t>3</t>
    </r>
    <r>
      <rPr>
        <sz val="10.5"/>
        <color theme="1"/>
        <rFont val="Arial"/>
        <family val="2"/>
      </rPr>
      <t>]</t>
    </r>
  </si>
  <si>
    <r>
      <t>Schwere Schädigung ab 1 Mio m</t>
    </r>
    <r>
      <rPr>
        <vertAlign val="superscript"/>
        <sz val="10.5"/>
        <color theme="1"/>
        <rFont val="Arial"/>
        <family val="2"/>
      </rPr>
      <t>3</t>
    </r>
  </si>
  <si>
    <r>
      <t>[m</t>
    </r>
    <r>
      <rPr>
        <vertAlign val="superscript"/>
        <sz val="10.5"/>
        <color theme="1"/>
        <rFont val="Arial"/>
        <family val="2"/>
      </rPr>
      <t>2</t>
    </r>
    <r>
      <rPr>
        <sz val="10.5"/>
        <color theme="1"/>
        <rFont val="Arial"/>
        <family val="2"/>
      </rPr>
      <t>]</t>
    </r>
  </si>
  <si>
    <r>
      <t>Annahme 15 g/m</t>
    </r>
    <r>
      <rPr>
        <vertAlign val="superscript"/>
        <sz val="10.5"/>
        <color theme="1"/>
        <rFont val="Arial"/>
        <family val="2"/>
      </rPr>
      <t>2</t>
    </r>
    <r>
      <rPr>
        <sz val="10.5"/>
        <color theme="1"/>
        <rFont val="Arial"/>
        <family val="2"/>
      </rPr>
      <t xml:space="preserve"> (Beurteilungskriterien StFV für Mineralölprodukte)</t>
    </r>
  </si>
  <si>
    <r>
      <t>[km</t>
    </r>
    <r>
      <rPr>
        <vertAlign val="superscript"/>
        <sz val="10.5"/>
        <color theme="1"/>
        <rFont val="Arial"/>
        <family val="2"/>
      </rPr>
      <t>2</t>
    </r>
    <r>
      <rPr>
        <sz val="10.5"/>
        <color theme="1"/>
        <rFont val="Arial"/>
        <family val="2"/>
      </rPr>
      <t>]</t>
    </r>
  </si>
  <si>
    <r>
      <t>Schwere Schädigung ab 1 km</t>
    </r>
    <r>
      <rPr>
        <vertAlign val="superscript"/>
        <sz val="10.5"/>
        <color theme="1"/>
        <rFont val="Arial"/>
        <family val="2"/>
      </rPr>
      <t>2</t>
    </r>
  </si>
  <si>
    <t>In Abhängigkeit von der "Wasserlöslichkeit / Mischbarkeit" werden Zellen ausgeblendet.</t>
  </si>
  <si>
    <t xml:space="preserve">Belebtschlamm/ Bakterien  (microorg.; algen, cyanob.) [mg/l] </t>
  </si>
  <si>
    <t>Stand: 16. August 2024</t>
  </si>
  <si>
    <t>Resultiert eine schwere Schädigung im Sinne der Störfallverordnung so empfehlen wir vor der Durchführung einer Risikoermittlung die detailliertere Abklärungen durch eine Fachperson.</t>
  </si>
  <si>
    <t>Das Blatt "Eingabe" und das Blatt "Resultate" sowie ggf. weitere Beilagen können dem Kurzbericht angehängt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</si>
</sst>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onsolas"/>
      <family val="3"/>
    </font>
    <font>
      <b/>
      <sz val="11"/>
      <color rgb="FF006699"/>
      <name val="Consolas"/>
      <family val="3"/>
    </font>
    <font>
      <sz val="11"/>
      <color rgb="FFE01AD7"/>
      <name val="Consolas"/>
      <family val="3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vertAlign val="superscript"/>
      <sz val="10.5"/>
      <color theme="1"/>
      <name val="Arial"/>
      <family val="2"/>
    </font>
    <font>
      <sz val="10.5"/>
      <color rgb="FFFF0000"/>
      <name val="Arial"/>
      <family val="2"/>
    </font>
    <font>
      <i/>
      <sz val="10.5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0.5"/>
      <color theme="1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0" fillId="5" borderId="0" xfId="0" applyFill="1" applyAlignment="1">
      <alignment horizontal="right"/>
    </xf>
    <xf numFmtId="0" fontId="0" fillId="7" borderId="0" xfId="0" applyFill="1" applyAlignment="1">
      <alignment horizontal="right"/>
    </xf>
    <xf numFmtId="0" fontId="0" fillId="7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2" fontId="0" fillId="0" borderId="0" xfId="0" applyNumberFormat="1"/>
    <xf numFmtId="2" fontId="0" fillId="0" borderId="0" xfId="0" applyNumberFormat="1" applyAlignment="1">
      <alignment horizontal="right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9" fillId="0" borderId="0" xfId="0" applyFont="1"/>
    <xf numFmtId="0" fontId="10" fillId="0" borderId="0" xfId="0" applyFont="1" applyAlignment="1">
      <alignment wrapTex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right" wrapText="1"/>
    </xf>
    <xf numFmtId="0" fontId="11" fillId="6" borderId="0" xfId="0" applyFont="1" applyFill="1" applyAlignment="1">
      <alignment vertical="top"/>
    </xf>
    <xf numFmtId="0" fontId="11" fillId="5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3" borderId="1" xfId="0" applyFont="1" applyFill="1" applyBorder="1" applyAlignment="1">
      <alignment horizontal="right"/>
    </xf>
    <xf numFmtId="0" fontId="11" fillId="3" borderId="1" xfId="0" applyFont="1" applyFill="1" applyBorder="1"/>
    <xf numFmtId="0" fontId="11" fillId="0" borderId="1" xfId="0" applyFont="1" applyBorder="1"/>
    <xf numFmtId="164" fontId="11" fillId="6" borderId="1" xfId="1" applyNumberFormat="1" applyFont="1" applyFill="1" applyBorder="1" applyAlignment="1" applyProtection="1">
      <alignment horizontal="right"/>
      <protection locked="0"/>
    </xf>
    <xf numFmtId="0" fontId="11" fillId="6" borderId="1" xfId="0" applyFont="1" applyFill="1" applyBorder="1" applyAlignment="1" applyProtection="1">
      <alignment horizontal="right"/>
      <protection locked="0"/>
    </xf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vertical="center"/>
    </xf>
    <xf numFmtId="0" fontId="11" fillId="6" borderId="1" xfId="0" applyFont="1" applyFill="1" applyBorder="1" applyProtection="1">
      <protection locked="0"/>
    </xf>
    <xf numFmtId="0" fontId="11" fillId="7" borderId="1" xfId="0" applyFont="1" applyFill="1" applyBorder="1" applyAlignment="1">
      <alignment horizontal="right"/>
    </xf>
    <xf numFmtId="0" fontId="11" fillId="7" borderId="1" xfId="0" applyFont="1" applyFill="1" applyBorder="1"/>
    <xf numFmtId="0" fontId="11" fillId="5" borderId="1" xfId="0" applyFont="1" applyFill="1" applyBorder="1" applyAlignment="1">
      <alignment horizontal="right"/>
    </xf>
    <xf numFmtId="0" fontId="11" fillId="0" borderId="3" xfId="0" applyFont="1" applyBorder="1"/>
    <xf numFmtId="0" fontId="11" fillId="5" borderId="3" xfId="0" applyFont="1" applyFill="1" applyBorder="1" applyAlignment="1">
      <alignment horizontal="right"/>
    </xf>
    <xf numFmtId="0" fontId="11" fillId="4" borderId="1" xfId="0" applyFont="1" applyFill="1" applyBorder="1"/>
    <xf numFmtId="164" fontId="11" fillId="5" borderId="1" xfId="1" applyNumberFormat="1" applyFont="1" applyFill="1" applyBorder="1"/>
    <xf numFmtId="1" fontId="11" fillId="0" borderId="1" xfId="0" applyNumberFormat="1" applyFont="1" applyBorder="1"/>
    <xf numFmtId="2" fontId="11" fillId="2" borderId="1" xfId="0" applyNumberFormat="1" applyFont="1" applyFill="1" applyBorder="1" applyAlignment="1">
      <alignment horizontal="right"/>
    </xf>
    <xf numFmtId="2" fontId="11" fillId="0" borderId="1" xfId="0" applyNumberFormat="1" applyFont="1" applyBorder="1"/>
    <xf numFmtId="164" fontId="11" fillId="5" borderId="1" xfId="1" applyNumberFormat="1" applyFont="1" applyFill="1" applyBorder="1" applyAlignment="1">
      <alignment horizontal="right"/>
    </xf>
    <xf numFmtId="165" fontId="11" fillId="5" borderId="1" xfId="0" applyNumberFormat="1" applyFont="1" applyFill="1" applyBorder="1"/>
    <xf numFmtId="165" fontId="11" fillId="0" borderId="1" xfId="0" applyNumberFormat="1" applyFont="1" applyBorder="1"/>
    <xf numFmtId="1" fontId="11" fillId="5" borderId="1" xfId="0" applyNumberFormat="1" applyFont="1" applyFill="1" applyBorder="1" applyAlignment="1">
      <alignment horizontal="right"/>
    </xf>
    <xf numFmtId="1" fontId="11" fillId="5" borderId="1" xfId="0" applyNumberFormat="1" applyFont="1" applyFill="1" applyBorder="1"/>
    <xf numFmtId="0" fontId="11" fillId="5" borderId="1" xfId="0" applyFont="1" applyFill="1" applyBorder="1"/>
    <xf numFmtId="0" fontId="12" fillId="0" borderId="1" xfId="0" applyFont="1" applyBorder="1"/>
    <xf numFmtId="2" fontId="11" fillId="5" borderId="1" xfId="0" applyNumberFormat="1" applyFont="1" applyFill="1" applyBorder="1"/>
    <xf numFmtId="2" fontId="11" fillId="5" borderId="1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8" borderId="1" xfId="0" applyFont="1" applyFill="1" applyBorder="1" applyAlignment="1">
      <alignment wrapText="1"/>
    </xf>
    <xf numFmtId="0" fontId="11" fillId="0" borderId="2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11" fillId="7" borderId="1" xfId="0" applyFont="1" applyFill="1" applyBorder="1" applyAlignment="1">
      <alignment wrapText="1"/>
    </xf>
    <xf numFmtId="0" fontId="0" fillId="7" borderId="0" xfId="0" applyFill="1" applyAlignment="1">
      <alignment wrapText="1"/>
    </xf>
    <xf numFmtId="0" fontId="11" fillId="0" borderId="3" xfId="0" applyFont="1" applyBorder="1" applyAlignment="1">
      <alignment wrapText="1"/>
    </xf>
    <xf numFmtId="0" fontId="15" fillId="4" borderId="1" xfId="0" applyFont="1" applyFill="1" applyBorder="1" applyAlignment="1">
      <alignment wrapText="1"/>
    </xf>
    <xf numFmtId="0" fontId="1" fillId="7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7" fillId="0" borderId="0" xfId="0" applyFont="1"/>
    <xf numFmtId="0" fontId="18" fillId="0" borderId="0" xfId="0" applyFont="1"/>
    <xf numFmtId="0" fontId="18" fillId="3" borderId="1" xfId="0" applyFont="1" applyFill="1" applyBorder="1"/>
    <xf numFmtId="0" fontId="18" fillId="3" borderId="1" xfId="0" applyFont="1" applyFill="1" applyBorder="1" applyAlignment="1">
      <alignment wrapText="1"/>
    </xf>
    <xf numFmtId="0" fontId="17" fillId="0" borderId="0" xfId="0" applyFont="1" applyAlignment="1">
      <alignment wrapText="1"/>
    </xf>
    <xf numFmtId="0" fontId="18" fillId="7" borderId="1" xfId="0" applyFont="1" applyFill="1" applyBorder="1" applyAlignment="1">
      <alignment wrapText="1"/>
    </xf>
    <xf numFmtId="0" fontId="18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</cellXfs>
  <cellStyles count="2">
    <cellStyle name="Komma" xfId="1" builtinId="3"/>
    <cellStyle name="Standard" xfId="0" builtinId="0"/>
  </cellStyles>
  <dxfs count="3">
    <dxf>
      <font>
        <color theme="0"/>
      </font>
      <fill>
        <patternFill patternType="gray0625">
          <fgColor auto="1"/>
          <bgColor theme="0"/>
        </patternFill>
      </fill>
    </dxf>
    <dxf>
      <font>
        <color theme="0"/>
      </font>
      <fill>
        <patternFill patternType="gray0625">
          <fgColor auto="1"/>
          <bgColor theme="0"/>
        </patternFill>
      </fill>
    </dxf>
    <dxf>
      <font>
        <color theme="0"/>
      </font>
      <fill>
        <patternFill patternType="gray0625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3721805</xdr:colOff>
      <xdr:row>0</xdr:row>
      <xdr:rowOff>88194</xdr:rowOff>
    </xdr:from>
    <xdr:to>
      <xdr:col>1</xdr:col>
      <xdr:colOff>8211255</xdr:colOff>
      <xdr:row>4</xdr:row>
      <xdr:rowOff>172508</xdr:rowOff>
    </xdr:to>
    <xdr:pic>
      <xdr:nvPicPr>
        <xdr:cNvPr id="2" name="oo_53357387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176888" y="88194"/>
          <a:ext cx="4493260" cy="10647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4494389</xdr:colOff>
      <xdr:row>0</xdr:row>
      <xdr:rowOff>70556</xdr:rowOff>
    </xdr:from>
    <xdr:to>
      <xdr:col>3</xdr:col>
      <xdr:colOff>8860014</xdr:colOff>
      <xdr:row>5</xdr:row>
      <xdr:rowOff>130175</xdr:rowOff>
    </xdr:to>
    <xdr:pic>
      <xdr:nvPicPr>
        <xdr:cNvPr id="2" name="oo_53357387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2043833" y="70556"/>
          <a:ext cx="4769485" cy="1078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105833</xdr:colOff>
      <xdr:row>0</xdr:row>
      <xdr:rowOff>35278</xdr:rowOff>
    </xdr:from>
    <xdr:to>
      <xdr:col>3</xdr:col>
      <xdr:colOff>3920702</xdr:colOff>
      <xdr:row>5</xdr:row>
      <xdr:rowOff>98707</xdr:rowOff>
    </xdr:to>
    <xdr:pic>
      <xdr:nvPicPr>
        <xdr:cNvPr id="2" name="oo_53357387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498166" y="35278"/>
          <a:ext cx="4769485" cy="1078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268110</xdr:colOff>
      <xdr:row>0</xdr:row>
      <xdr:rowOff>56445</xdr:rowOff>
    </xdr:from>
    <xdr:to>
      <xdr:col>8</xdr:col>
      <xdr:colOff>1030394</xdr:colOff>
      <xdr:row>5</xdr:row>
      <xdr:rowOff>112254</xdr:rowOff>
    </xdr:to>
    <xdr:pic>
      <xdr:nvPicPr>
        <xdr:cNvPr id="2" name="oo_53357387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5736166" y="56445"/>
          <a:ext cx="4769485" cy="1078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7"/>
  <sheetViews>
    <sheetView zoomScale="90" zoomScaleNormal="90" workbookViewId="0">
      <selection activeCell="B24" sqref="B24"/>
    </sheetView>
  </sheetViews>
  <sheetFormatPr baseColWidth="10" defaultRowHeight="15" x14ac:dyDescent="0.25"/>
  <cols>
    <col min="1" max="1" width="6.85546875" style="9" customWidth="1"/>
    <col min="2" max="2" width="124.28515625" style="8" customWidth="1"/>
  </cols>
  <sheetData>
    <row r="1" spans="1:2" ht="22.5" x14ac:dyDescent="0.45">
      <c r="A1" s="78" t="s">
        <v>106</v>
      </c>
      <c r="B1" s="16"/>
    </row>
    <row r="2" spans="1:2" x14ac:dyDescent="0.25">
      <c r="A2" s="18" t="s">
        <v>126</v>
      </c>
      <c r="B2" s="16"/>
    </row>
    <row r="3" spans="1:2" ht="20.25" x14ac:dyDescent="0.3">
      <c r="A3" s="15"/>
      <c r="B3" s="16"/>
    </row>
    <row r="4" spans="1:2" ht="20.25" x14ac:dyDescent="0.3">
      <c r="A4" s="15"/>
      <c r="B4" s="16"/>
    </row>
    <row r="5" spans="1:2" ht="20.25" customHeight="1" x14ac:dyDescent="0.25">
      <c r="B5" s="19"/>
    </row>
    <row r="6" spans="1:2" ht="32.450000000000003" customHeight="1" x14ac:dyDescent="0.25">
      <c r="A6" s="85" t="s">
        <v>110</v>
      </c>
      <c r="B6" s="85"/>
    </row>
    <row r="7" spans="1:2" ht="32.450000000000003" customHeight="1" x14ac:dyDescent="0.25">
      <c r="A7" s="20"/>
      <c r="B7" s="20"/>
    </row>
    <row r="8" spans="1:2" ht="15.75" x14ac:dyDescent="0.3">
      <c r="A8" s="79" t="s">
        <v>111</v>
      </c>
      <c r="B8" s="19"/>
    </row>
    <row r="9" spans="1:2" x14ac:dyDescent="0.25">
      <c r="A9" s="76"/>
      <c r="B9" s="77"/>
    </row>
    <row r="10" spans="1:2" ht="27" x14ac:dyDescent="0.25">
      <c r="A10" s="76" t="s">
        <v>5</v>
      </c>
      <c r="B10" s="77" t="s">
        <v>97</v>
      </c>
    </row>
    <row r="11" spans="1:2" ht="27" x14ac:dyDescent="0.25">
      <c r="A11" s="76" t="s">
        <v>5</v>
      </c>
      <c r="B11" s="77" t="s">
        <v>127</v>
      </c>
    </row>
    <row r="12" spans="1:2" x14ac:dyDescent="0.25">
      <c r="A12" s="76" t="s">
        <v>5</v>
      </c>
      <c r="B12" s="77" t="s">
        <v>128</v>
      </c>
    </row>
    <row r="13" spans="1:2" x14ac:dyDescent="0.25">
      <c r="A13" s="21"/>
      <c r="B13" s="19"/>
    </row>
    <row r="14" spans="1:2" ht="15.75" x14ac:dyDescent="0.3">
      <c r="A14" s="79" t="s">
        <v>94</v>
      </c>
      <c r="B14" s="22"/>
    </row>
    <row r="15" spans="1:2" x14ac:dyDescent="0.25">
      <c r="A15" s="23"/>
      <c r="B15" s="19" t="s">
        <v>40</v>
      </c>
    </row>
    <row r="16" spans="1:2" x14ac:dyDescent="0.25">
      <c r="A16" s="24"/>
      <c r="B16" s="19" t="s">
        <v>41</v>
      </c>
    </row>
    <row r="17" spans="1:2" x14ac:dyDescent="0.25">
      <c r="A17" s="25"/>
      <c r="B17" s="19" t="s">
        <v>42</v>
      </c>
    </row>
  </sheetData>
  <sheetProtection algorithmName="SHA-512" hashValue="W9huWFPfso0Ug8bJRBzKLZaBf4kOl1Q8k/rD0Bt/rzl6eLWMC2kOjyVCQSVhfhlXHcQ7OEhxHgS1mGS5DJbkWg==" saltValue="faUaSP3gA0JW0Tp1bgzBeg==" spinCount="100000" sheet="1" objects="1" scenarios="1"/>
  <mergeCells count="1">
    <mergeCell ref="A6:B6"/>
  </mergeCells>
  <pageMargins left="0.7" right="0.7" top="0.78740157499999996" bottom="0.78740157499999996" header="0.3" footer="0.3"/>
  <pageSetup paperSize="9" scale="8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  <pageSetUpPr fitToPage="1"/>
  </sheetPr>
  <dimension ref="A1:S42"/>
  <sheetViews>
    <sheetView tabSelected="1" zoomScale="90" zoomScaleNormal="90" workbookViewId="0">
      <selection activeCell="A2" sqref="A2"/>
    </sheetView>
  </sheetViews>
  <sheetFormatPr baseColWidth="10" defaultRowHeight="15" x14ac:dyDescent="0.25"/>
  <cols>
    <col min="1" max="1" width="73.7109375" customWidth="1"/>
    <col min="2" max="2" width="40.42578125" style="2" customWidth="1"/>
    <col min="3" max="3" width="12.85546875" customWidth="1"/>
    <col min="4" max="4" width="148.5703125" style="8" customWidth="1"/>
  </cols>
  <sheetData>
    <row r="1" spans="1:4" ht="22.5" x14ac:dyDescent="0.45">
      <c r="A1" s="78" t="s">
        <v>113</v>
      </c>
      <c r="B1" s="26"/>
      <c r="C1" s="17"/>
      <c r="D1" s="16"/>
    </row>
    <row r="2" spans="1:4" x14ac:dyDescent="0.25">
      <c r="A2" s="18" t="str">
        <f>Informationen!A2</f>
        <v>Stand: 16. August 2024</v>
      </c>
      <c r="B2" s="27"/>
      <c r="C2" s="18"/>
      <c r="D2" s="19"/>
    </row>
    <row r="3" spans="1:4" x14ac:dyDescent="0.25">
      <c r="A3" s="18"/>
      <c r="B3" s="27"/>
      <c r="C3" s="18"/>
      <c r="D3" s="19"/>
    </row>
    <row r="4" spans="1:4" x14ac:dyDescent="0.25">
      <c r="A4" s="18"/>
      <c r="B4" s="27"/>
      <c r="C4" s="18"/>
      <c r="D4" s="19"/>
    </row>
    <row r="5" spans="1:4" x14ac:dyDescent="0.25">
      <c r="A5" s="18"/>
      <c r="B5" s="27"/>
      <c r="C5" s="18"/>
      <c r="D5" s="19"/>
    </row>
    <row r="6" spans="1:4" x14ac:dyDescent="0.25">
      <c r="A6" s="18"/>
      <c r="B6" s="27"/>
      <c r="C6" s="18"/>
      <c r="D6" s="19"/>
    </row>
    <row r="7" spans="1:4" ht="15.75" x14ac:dyDescent="0.3">
      <c r="A7" s="80" t="s">
        <v>95</v>
      </c>
      <c r="B7" s="28" t="s">
        <v>16</v>
      </c>
      <c r="C7" s="29" t="s">
        <v>15</v>
      </c>
      <c r="D7" s="63" t="s">
        <v>14</v>
      </c>
    </row>
    <row r="8" spans="1:4" x14ac:dyDescent="0.25">
      <c r="A8" s="30" t="s">
        <v>96</v>
      </c>
      <c r="B8" s="31" t="s">
        <v>99</v>
      </c>
      <c r="C8" s="30" t="s">
        <v>4</v>
      </c>
      <c r="D8" s="64" t="s">
        <v>102</v>
      </c>
    </row>
    <row r="9" spans="1:4" x14ac:dyDescent="0.25">
      <c r="A9" s="30" t="s">
        <v>55</v>
      </c>
      <c r="B9" s="32" t="s">
        <v>22</v>
      </c>
      <c r="C9" s="30" t="s">
        <v>4</v>
      </c>
      <c r="D9" s="64" t="s">
        <v>76</v>
      </c>
    </row>
    <row r="10" spans="1:4" x14ac:dyDescent="0.25">
      <c r="A10" s="30" t="s">
        <v>12</v>
      </c>
      <c r="B10" s="32">
        <f>VLOOKUP($B$9,Substanzdaten!$A$8:$I$19,6,0)</f>
        <v>0.62</v>
      </c>
      <c r="C10" s="30" t="s">
        <v>10</v>
      </c>
      <c r="D10" s="64" t="s">
        <v>77</v>
      </c>
    </row>
    <row r="11" spans="1:4" x14ac:dyDescent="0.25">
      <c r="A11" s="30" t="s">
        <v>56</v>
      </c>
      <c r="B11" s="32" t="str">
        <f>VLOOKUP($B$9,Substanzdaten!$A$8:$I$19,3,0)</f>
        <v>schwer wasserlöslich und aufschwimmend</v>
      </c>
      <c r="C11" s="30" t="s">
        <v>4</v>
      </c>
      <c r="D11" s="64" t="s">
        <v>77</v>
      </c>
    </row>
    <row r="12" spans="1:4" x14ac:dyDescent="0.25">
      <c r="A12" s="30" t="s">
        <v>57</v>
      </c>
      <c r="B12" s="31">
        <v>5000</v>
      </c>
      <c r="C12" s="30" t="s">
        <v>3</v>
      </c>
      <c r="D12" s="64" t="s">
        <v>73</v>
      </c>
    </row>
    <row r="13" spans="1:4" x14ac:dyDescent="0.25">
      <c r="A13" s="30" t="s">
        <v>58</v>
      </c>
      <c r="B13" s="31">
        <v>10</v>
      </c>
      <c r="C13" s="30" t="s">
        <v>0</v>
      </c>
      <c r="D13" s="64" t="s">
        <v>77</v>
      </c>
    </row>
    <row r="14" spans="1:4" x14ac:dyDescent="0.25">
      <c r="A14" s="30" t="s">
        <v>36</v>
      </c>
      <c r="B14" s="31">
        <v>5000</v>
      </c>
      <c r="C14" s="30" t="s">
        <v>3</v>
      </c>
      <c r="D14" s="64" t="s">
        <v>74</v>
      </c>
    </row>
    <row r="15" spans="1:4" x14ac:dyDescent="0.25">
      <c r="A15" s="30"/>
      <c r="B15" s="33"/>
      <c r="C15" s="30"/>
      <c r="D15" s="64"/>
    </row>
    <row r="16" spans="1:4" ht="47.25" x14ac:dyDescent="0.3">
      <c r="A16" s="81" t="s">
        <v>117</v>
      </c>
      <c r="B16" s="28" t="str">
        <f>B7</f>
        <v>Wert</v>
      </c>
      <c r="C16" s="29" t="str">
        <f>C7</f>
        <v>Einheit</v>
      </c>
      <c r="D16" s="63" t="str">
        <f>D7</f>
        <v>Bemerkungen</v>
      </c>
    </row>
    <row r="17" spans="1:19" x14ac:dyDescent="0.25">
      <c r="A17" s="30" t="s">
        <v>79</v>
      </c>
      <c r="B17" s="32">
        <v>1</v>
      </c>
      <c r="C17" s="30" t="s">
        <v>11</v>
      </c>
      <c r="D17" s="64" t="s">
        <v>78</v>
      </c>
    </row>
    <row r="18" spans="1:19" x14ac:dyDescent="0.25">
      <c r="A18" s="30" t="s">
        <v>80</v>
      </c>
      <c r="B18" s="32">
        <v>5</v>
      </c>
      <c r="C18" s="30" t="s">
        <v>11</v>
      </c>
      <c r="D18" s="64" t="s">
        <v>78</v>
      </c>
    </row>
    <row r="19" spans="1:19" x14ac:dyDescent="0.25">
      <c r="A19" s="30" t="s">
        <v>69</v>
      </c>
      <c r="B19" s="32" t="s">
        <v>114</v>
      </c>
      <c r="C19" s="30" t="s">
        <v>4</v>
      </c>
      <c r="D19" s="64" t="s">
        <v>116</v>
      </c>
    </row>
    <row r="20" spans="1:19" x14ac:dyDescent="0.25">
      <c r="A20" s="30"/>
      <c r="B20" s="33"/>
      <c r="C20" s="30"/>
      <c r="D20" s="64"/>
    </row>
    <row r="21" spans="1:19" ht="15.75" x14ac:dyDescent="0.3">
      <c r="A21" s="81" t="s">
        <v>98</v>
      </c>
      <c r="B21" s="28" t="str">
        <f>B7</f>
        <v>Wert</v>
      </c>
      <c r="C21" s="29" t="str">
        <f>C7</f>
        <v>Einheit</v>
      </c>
      <c r="D21" s="63" t="str">
        <f>D7</f>
        <v>Bemerkungen</v>
      </c>
      <c r="K21" s="6"/>
      <c r="L21" s="6"/>
      <c r="M21" s="6"/>
      <c r="N21" s="6"/>
      <c r="O21" s="6"/>
      <c r="P21" s="6"/>
      <c r="Q21" s="6"/>
      <c r="R21" s="6"/>
      <c r="S21" s="6"/>
    </row>
    <row r="22" spans="1:19" x14ac:dyDescent="0.25">
      <c r="A22" s="30" t="s">
        <v>107</v>
      </c>
      <c r="B22" s="32" t="s">
        <v>115</v>
      </c>
      <c r="C22" s="30" t="s">
        <v>4</v>
      </c>
      <c r="D22" s="64" t="s">
        <v>102</v>
      </c>
      <c r="K22" s="6"/>
      <c r="L22" s="6"/>
      <c r="M22" s="6"/>
      <c r="N22" s="6"/>
      <c r="O22" s="6"/>
      <c r="P22" s="6"/>
      <c r="Q22" s="6"/>
      <c r="R22" s="6"/>
      <c r="S22" s="6"/>
    </row>
    <row r="23" spans="1:19" x14ac:dyDescent="0.25">
      <c r="A23" s="30" t="s">
        <v>104</v>
      </c>
      <c r="B23" s="32">
        <f>VLOOKUP($B$9,Substanzdaten!$A$8:$I$19,9,0)</f>
        <v>15.41</v>
      </c>
      <c r="C23" s="34" t="s">
        <v>11</v>
      </c>
      <c r="D23" s="64" t="s">
        <v>77</v>
      </c>
      <c r="K23" s="6"/>
      <c r="L23" s="6"/>
      <c r="M23" s="6"/>
      <c r="N23" s="6"/>
      <c r="O23" s="6"/>
      <c r="P23" s="6"/>
      <c r="Q23" s="6"/>
      <c r="R23" s="6"/>
      <c r="S23" s="6"/>
    </row>
    <row r="24" spans="1:19" x14ac:dyDescent="0.25">
      <c r="A24" s="30" t="s">
        <v>69</v>
      </c>
      <c r="B24" s="32" t="s">
        <v>114</v>
      </c>
      <c r="C24" s="30" t="s">
        <v>4</v>
      </c>
      <c r="D24" s="64" t="s">
        <v>116</v>
      </c>
      <c r="K24" s="6"/>
      <c r="L24" s="6"/>
      <c r="M24" s="6"/>
      <c r="N24" s="6"/>
      <c r="O24" s="6"/>
      <c r="P24" s="6"/>
      <c r="Q24" s="6"/>
      <c r="R24" s="6"/>
      <c r="S24" s="6"/>
    </row>
    <row r="25" spans="1:19" ht="16.5" x14ac:dyDescent="0.25">
      <c r="A25" s="30" t="s">
        <v>54</v>
      </c>
      <c r="B25" s="35">
        <v>1</v>
      </c>
      <c r="C25" s="30" t="s">
        <v>118</v>
      </c>
      <c r="D25" s="64" t="s">
        <v>108</v>
      </c>
      <c r="K25" s="6"/>
      <c r="L25" s="6"/>
      <c r="M25" s="6"/>
      <c r="N25" s="6"/>
      <c r="O25" s="6"/>
      <c r="P25" s="6"/>
      <c r="Q25" s="6"/>
      <c r="R25" s="6"/>
      <c r="S25" s="6"/>
    </row>
    <row r="26" spans="1:19" ht="16.5" x14ac:dyDescent="0.25">
      <c r="A26" s="30" t="s">
        <v>6</v>
      </c>
      <c r="B26" s="35">
        <v>1</v>
      </c>
      <c r="C26" s="30" t="s">
        <v>118</v>
      </c>
      <c r="D26" s="64" t="s">
        <v>109</v>
      </c>
      <c r="K26" s="6"/>
      <c r="L26" s="6"/>
      <c r="M26" s="6"/>
      <c r="N26" s="6"/>
      <c r="O26" s="6"/>
      <c r="P26" s="6"/>
      <c r="Q26" s="6"/>
      <c r="R26" s="6"/>
      <c r="S26" s="6"/>
    </row>
    <row r="27" spans="1:19" ht="16.5" x14ac:dyDescent="0.25">
      <c r="A27" s="30" t="s">
        <v>61</v>
      </c>
      <c r="B27" s="35">
        <v>1</v>
      </c>
      <c r="C27" s="30" t="s">
        <v>118</v>
      </c>
      <c r="D27" s="64" t="s">
        <v>108</v>
      </c>
      <c r="K27" s="6"/>
      <c r="L27" s="6"/>
      <c r="M27" s="6"/>
      <c r="N27" s="6"/>
      <c r="O27" s="6"/>
      <c r="P27" s="6"/>
      <c r="Q27" s="6"/>
      <c r="R27" s="6"/>
      <c r="S27" s="6"/>
    </row>
    <row r="28" spans="1:19" x14ac:dyDescent="0.25">
      <c r="A28" s="30" t="s">
        <v>51</v>
      </c>
      <c r="B28" s="32">
        <v>0</v>
      </c>
      <c r="C28" s="30" t="s">
        <v>0</v>
      </c>
      <c r="D28" s="64" t="s">
        <v>75</v>
      </c>
      <c r="K28" s="6"/>
      <c r="L28" s="6"/>
      <c r="M28" s="6"/>
      <c r="N28" s="6"/>
      <c r="O28" s="6"/>
      <c r="P28" s="6"/>
      <c r="Q28" s="6"/>
      <c r="R28" s="6"/>
      <c r="S28" s="6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</sheetData>
  <sheetProtection algorithmName="SHA-512" hashValue="E5uNhljcgB6iw56F23itjlh2bupE1nctHgyHBvXMuM/1xVGsYzxIPzRtzefuvGgDn0u0UgVnGZllB237u9LZCw==" saltValue="gZjbmx3PdXDzwul3xBL5YQ==" spinCount="100000" sheet="1" objects="1" scenarios="1"/>
  <pageMargins left="0.7" right="0.7" top="0.78740157499999996" bottom="0.78740157499999996" header="0.3" footer="0.3"/>
  <pageSetup paperSize="9" scale="6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xr:uid="{00000000-0002-0000-0100-000001000000}">
          <x14:formula1>
            <xm:f>Substanzdaten!$A$8:$A$20</xm:f>
          </x14:formula1>
          <xm:sqref>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D65"/>
  <sheetViews>
    <sheetView topLeftCell="A8" zoomScale="90" zoomScaleNormal="90" workbookViewId="0">
      <selection activeCell="B10" sqref="B10:B11"/>
    </sheetView>
  </sheetViews>
  <sheetFormatPr baseColWidth="10" defaultRowHeight="15" x14ac:dyDescent="0.25"/>
  <cols>
    <col min="1" max="1" width="71.85546875" style="8" customWidth="1"/>
    <col min="2" max="2" width="40.42578125" style="2" customWidth="1"/>
    <col min="3" max="3" width="11.140625" bestFit="1" customWidth="1"/>
    <col min="4" max="4" width="72.28515625" style="8" customWidth="1"/>
    <col min="5" max="5" width="23.42578125" customWidth="1"/>
  </cols>
  <sheetData>
    <row r="1" spans="1:4" ht="22.5" x14ac:dyDescent="0.45">
      <c r="A1" s="82" t="s">
        <v>93</v>
      </c>
      <c r="B1" s="26"/>
      <c r="C1" s="17"/>
      <c r="D1" s="16"/>
    </row>
    <row r="2" spans="1:4" x14ac:dyDescent="0.25">
      <c r="A2" s="19" t="str">
        <f>Informationen!A2</f>
        <v>Stand: 16. August 2024</v>
      </c>
      <c r="B2" s="27"/>
      <c r="C2" s="18"/>
      <c r="D2" s="19"/>
    </row>
    <row r="3" spans="1:4" x14ac:dyDescent="0.25">
      <c r="A3" s="19"/>
      <c r="B3" s="27"/>
      <c r="C3" s="18"/>
      <c r="D3" s="19"/>
    </row>
    <row r="4" spans="1:4" x14ac:dyDescent="0.25">
      <c r="A4" s="18" t="s">
        <v>124</v>
      </c>
      <c r="B4" s="27"/>
      <c r="C4" s="18"/>
      <c r="D4" s="19"/>
    </row>
    <row r="5" spans="1:4" x14ac:dyDescent="0.25">
      <c r="A5" s="19"/>
      <c r="B5" s="27"/>
      <c r="C5" s="18"/>
      <c r="D5" s="19"/>
    </row>
    <row r="6" spans="1:4" x14ac:dyDescent="0.25">
      <c r="A6" s="19"/>
      <c r="B6" s="27"/>
      <c r="C6" s="18"/>
      <c r="D6" s="19"/>
    </row>
    <row r="7" spans="1:4" ht="15.75" x14ac:dyDescent="0.3">
      <c r="A7" s="83" t="s">
        <v>95</v>
      </c>
      <c r="B7" s="36" t="s">
        <v>16</v>
      </c>
      <c r="C7" s="37" t="str">
        <f>C14</f>
        <v>Einheit</v>
      </c>
      <c r="D7" s="65" t="str">
        <f>D14</f>
        <v>Bemerkungen</v>
      </c>
    </row>
    <row r="8" spans="1:4" x14ac:dyDescent="0.25">
      <c r="A8" s="64" t="str">
        <f>Eingabe!A8</f>
        <v>Name des Szenarios</v>
      </c>
      <c r="B8" s="38" t="str">
        <f>Eingabe!B8</f>
        <v>"Leckage Umschlagplatz 1"</v>
      </c>
      <c r="C8" s="30" t="str">
        <f>Eingabe!C8</f>
        <v>[-]</v>
      </c>
      <c r="D8" s="66"/>
    </row>
    <row r="9" spans="1:4" x14ac:dyDescent="0.25">
      <c r="A9" s="64" t="str">
        <f>A48</f>
        <v>Bezeichnung Gebinde / Stoff / Gemisch</v>
      </c>
      <c r="B9" s="38" t="str">
        <f>B48</f>
        <v>Benzin</v>
      </c>
      <c r="C9" s="30" t="str">
        <f>C48</f>
        <v>[-]</v>
      </c>
      <c r="D9" s="66"/>
    </row>
    <row r="10" spans="1:4" x14ac:dyDescent="0.25">
      <c r="A10" s="64" t="s">
        <v>9</v>
      </c>
      <c r="B10" s="38">
        <f>B51*B52*B50/100</f>
        <v>310</v>
      </c>
      <c r="C10" s="30" t="s">
        <v>2</v>
      </c>
      <c r="D10" s="67"/>
    </row>
    <row r="11" spans="1:4" x14ac:dyDescent="0.25">
      <c r="A11" s="72" t="str">
        <f>A58</f>
        <v>Minimalwert Toxizität (LC50/EC50)</v>
      </c>
      <c r="B11" s="40">
        <f>B58</f>
        <v>1</v>
      </c>
      <c r="C11" s="39" t="s">
        <v>11</v>
      </c>
      <c r="D11" s="67"/>
    </row>
    <row r="12" spans="1:4" x14ac:dyDescent="0.25">
      <c r="A12" s="64" t="str">
        <f>A53</f>
        <v>Wasserlöslichkeit / Mischbarkeit</v>
      </c>
      <c r="B12" s="38" t="str">
        <f>B53</f>
        <v>schwer wasserlöslich und aufschwimmend</v>
      </c>
      <c r="C12" s="30"/>
      <c r="D12" s="64"/>
    </row>
    <row r="13" spans="1:4" x14ac:dyDescent="0.25">
      <c r="A13" s="19"/>
      <c r="B13" s="27"/>
      <c r="C13" s="18"/>
      <c r="D13" s="19"/>
    </row>
    <row r="14" spans="1:4" ht="47.25" x14ac:dyDescent="0.3">
      <c r="A14" s="83" t="str">
        <f>Eingabe!A16</f>
        <v>Stoff / Gemisch im Gewässer (Regenabwasserkanalisation oder Schmutzabwasserkanalisation mit Entlastungsmöglichkeit ins Gewässer)</v>
      </c>
      <c r="B14" s="36" t="s">
        <v>16</v>
      </c>
      <c r="C14" s="37" t="str">
        <f>Eingabe!C7</f>
        <v>Einheit</v>
      </c>
      <c r="D14" s="65" t="str">
        <f>Eingabe!D7</f>
        <v>Bemerkungen</v>
      </c>
    </row>
    <row r="15" spans="1:4" x14ac:dyDescent="0.25">
      <c r="A15" s="73" t="s">
        <v>100</v>
      </c>
      <c r="B15" s="41"/>
      <c r="C15" s="41"/>
      <c r="D15" s="68"/>
    </row>
    <row r="16" spans="1:4" ht="16.5" x14ac:dyDescent="0.25">
      <c r="A16" s="64" t="s">
        <v>8</v>
      </c>
      <c r="B16" s="42">
        <f>B10*1000/B11</f>
        <v>310000</v>
      </c>
      <c r="C16" s="30" t="s">
        <v>118</v>
      </c>
      <c r="D16" s="64"/>
    </row>
    <row r="17" spans="1:4" x14ac:dyDescent="0.25">
      <c r="A17" s="64"/>
      <c r="B17" s="43"/>
      <c r="C17" s="30"/>
      <c r="D17" s="64"/>
    </row>
    <row r="18" spans="1:4" x14ac:dyDescent="0.25">
      <c r="A18" s="64" t="s">
        <v>47</v>
      </c>
      <c r="B18" s="44">
        <f>IF((0.3*((LOG10(B16/10^6)/1.5+1)))&lt;0,0,(0.3*((LOG10(B16/10^6)/1.5+1))))</f>
        <v>0.19827233876685452</v>
      </c>
      <c r="C18" s="45" t="s">
        <v>4</v>
      </c>
      <c r="D18" s="64" t="s">
        <v>48</v>
      </c>
    </row>
    <row r="19" spans="1:4" ht="16.5" x14ac:dyDescent="0.25">
      <c r="A19" s="64" t="s">
        <v>59</v>
      </c>
      <c r="B19" s="44" t="str">
        <f>IF(B12="schwer wasserlöslich und aufschwimmend","Nicht zutreffend",IF(B16&lt;1000000,"Nein","Ja"))</f>
        <v>Nicht zutreffend</v>
      </c>
      <c r="C19" s="45" t="s">
        <v>4</v>
      </c>
      <c r="D19" s="64" t="s">
        <v>119</v>
      </c>
    </row>
    <row r="20" spans="1:4" x14ac:dyDescent="0.25">
      <c r="A20" s="19"/>
      <c r="B20" s="27"/>
      <c r="C20" s="18"/>
      <c r="D20" s="19"/>
    </row>
    <row r="21" spans="1:4" ht="27.75" x14ac:dyDescent="0.25">
      <c r="A21" s="73" t="s">
        <v>101</v>
      </c>
      <c r="B21" s="41"/>
      <c r="C21" s="41"/>
      <c r="D21" s="68"/>
    </row>
    <row r="22" spans="1:4" ht="16.5" x14ac:dyDescent="0.25">
      <c r="A22" s="64" t="s">
        <v>19</v>
      </c>
      <c r="B22" s="46">
        <f>B10*1000/15</f>
        <v>20666.666666666668</v>
      </c>
      <c r="C22" s="30" t="s">
        <v>120</v>
      </c>
      <c r="D22" s="64" t="s">
        <v>121</v>
      </c>
    </row>
    <row r="23" spans="1:4" ht="16.5" x14ac:dyDescent="0.25">
      <c r="A23" s="64" t="s">
        <v>71</v>
      </c>
      <c r="B23" s="46">
        <f>SQRT(B22/PI())</f>
        <v>81.107362886885966</v>
      </c>
      <c r="C23" s="30" t="s">
        <v>72</v>
      </c>
      <c r="D23" s="64" t="s">
        <v>121</v>
      </c>
    </row>
    <row r="24" spans="1:4" ht="16.5" x14ac:dyDescent="0.25">
      <c r="A24" s="64" t="s">
        <v>49</v>
      </c>
      <c r="B24" s="47">
        <f>B22/1000000</f>
        <v>2.0666666666666667E-2</v>
      </c>
      <c r="C24" s="30" t="s">
        <v>122</v>
      </c>
      <c r="D24" s="69"/>
    </row>
    <row r="25" spans="1:4" x14ac:dyDescent="0.25">
      <c r="A25" s="64"/>
      <c r="B25" s="48"/>
      <c r="C25" s="30"/>
      <c r="D25" s="69"/>
    </row>
    <row r="26" spans="1:4" x14ac:dyDescent="0.25">
      <c r="A26" s="64" t="s">
        <v>47</v>
      </c>
      <c r="B26" s="44">
        <f>IF((0.3*(LOG10(B24)+1))&lt;0,0,0.3*(LOG10(B24)+1))</f>
        <v>0</v>
      </c>
      <c r="C26" s="45" t="s">
        <v>4</v>
      </c>
      <c r="D26" s="64" t="s">
        <v>48</v>
      </c>
    </row>
    <row r="27" spans="1:4" ht="16.5" x14ac:dyDescent="0.25">
      <c r="A27" s="64" t="s">
        <v>50</v>
      </c>
      <c r="B27" s="44" t="str">
        <f>IF(B12="wasserlöslich", "Nicht zutreffend",IF(B24&lt;1,"Nein","Ja"))</f>
        <v>Nein</v>
      </c>
      <c r="C27" s="45" t="s">
        <v>4</v>
      </c>
      <c r="D27" s="64" t="s">
        <v>123</v>
      </c>
    </row>
    <row r="28" spans="1:4" x14ac:dyDescent="0.25">
      <c r="A28" s="19"/>
      <c r="B28" s="27"/>
      <c r="C28" s="18"/>
      <c r="D28" s="19"/>
    </row>
    <row r="29" spans="1:4" ht="15.75" x14ac:dyDescent="0.3">
      <c r="A29" s="83" t="str">
        <f>Eingabe!A21</f>
        <v>Stoff / Gemisch in der ARA (Schmutzabwasserkanalisation)</v>
      </c>
      <c r="B29" s="36" t="s">
        <v>16</v>
      </c>
      <c r="C29" s="37" t="str">
        <f>C14</f>
        <v>Einheit</v>
      </c>
      <c r="D29" s="70" t="str">
        <f>D14</f>
        <v>Bemerkungen</v>
      </c>
    </row>
    <row r="30" spans="1:4" x14ac:dyDescent="0.25">
      <c r="A30" s="73" t="s">
        <v>100</v>
      </c>
      <c r="B30" s="41"/>
      <c r="C30" s="41"/>
      <c r="D30" s="68"/>
    </row>
    <row r="31" spans="1:4" x14ac:dyDescent="0.25">
      <c r="A31" s="64" t="str">
        <f t="shared" ref="A31:C31" si="0">A60</f>
        <v>Bezeichnung Abwasserreinigungsanlage (ARA)</v>
      </c>
      <c r="B31" s="49" t="str">
        <f t="shared" si="0"/>
        <v>"Name ARA"</v>
      </c>
      <c r="C31" s="30" t="str">
        <f t="shared" si="0"/>
        <v>[-]</v>
      </c>
      <c r="D31" s="64"/>
    </row>
    <row r="32" spans="1:4" ht="16.5" x14ac:dyDescent="0.25">
      <c r="A32" s="64" t="s">
        <v>13</v>
      </c>
      <c r="B32" s="38">
        <f>B62+B63</f>
        <v>2</v>
      </c>
      <c r="C32" s="30" t="s">
        <v>118</v>
      </c>
      <c r="D32" s="64" t="s">
        <v>91</v>
      </c>
    </row>
    <row r="33" spans="1:4" x14ac:dyDescent="0.25">
      <c r="A33" s="64" t="s">
        <v>7</v>
      </c>
      <c r="B33" s="50">
        <f>1000*B10/B32</f>
        <v>155000</v>
      </c>
      <c r="C33" s="30" t="s">
        <v>11</v>
      </c>
      <c r="D33" s="64"/>
    </row>
    <row r="34" spans="1:4" x14ac:dyDescent="0.25">
      <c r="A34" s="64" t="str">
        <f>A61</f>
        <v>Kurzzeittoxizität Belebtschlamm (Bakterientox.) (IC50, ...)</v>
      </c>
      <c r="B34" s="51">
        <f>B61</f>
        <v>15.41</v>
      </c>
      <c r="C34" s="30" t="str">
        <f>C61</f>
        <v>[mg/l]</v>
      </c>
      <c r="D34" s="64"/>
    </row>
    <row r="35" spans="1:4" x14ac:dyDescent="0.25">
      <c r="A35" s="64" t="s">
        <v>64</v>
      </c>
      <c r="B35" s="44" t="str">
        <f>IF(B12="schwer wasserlöslich und aufschwimmend","Nicht zutreffend",IF(B33&lt;B34,"Nein","Ja"))</f>
        <v>Nicht zutreffend</v>
      </c>
      <c r="C35" s="52"/>
      <c r="D35" s="64" t="s">
        <v>90</v>
      </c>
    </row>
    <row r="36" spans="1:4" x14ac:dyDescent="0.25">
      <c r="A36" s="64"/>
      <c r="B36" s="33"/>
      <c r="C36" s="30"/>
      <c r="D36" s="64"/>
    </row>
    <row r="37" spans="1:4" x14ac:dyDescent="0.25">
      <c r="A37" s="64"/>
      <c r="B37" s="33"/>
      <c r="C37" s="30"/>
      <c r="D37" s="64"/>
    </row>
    <row r="38" spans="1:4" ht="16.5" x14ac:dyDescent="0.25">
      <c r="A38" s="64" t="s">
        <v>62</v>
      </c>
      <c r="B38" s="38">
        <f>B63+B64+B62</f>
        <v>3</v>
      </c>
      <c r="C38" s="30" t="s">
        <v>118</v>
      </c>
      <c r="D38" s="64" t="s">
        <v>92</v>
      </c>
    </row>
    <row r="39" spans="1:4" x14ac:dyDescent="0.25">
      <c r="A39" s="64" t="s">
        <v>63</v>
      </c>
      <c r="B39" s="53">
        <f>1000*B10/B38</f>
        <v>103333.33333333333</v>
      </c>
      <c r="C39" s="30" t="s">
        <v>11</v>
      </c>
      <c r="D39" s="64"/>
    </row>
    <row r="40" spans="1:4" x14ac:dyDescent="0.25">
      <c r="A40" s="64" t="str">
        <f>A65</f>
        <v>Eventueller Stoffrückhalt durch ARA</v>
      </c>
      <c r="B40" s="51">
        <f>B65</f>
        <v>0</v>
      </c>
      <c r="C40" s="30" t="str">
        <f>C65</f>
        <v>[%]</v>
      </c>
      <c r="D40" s="64"/>
    </row>
    <row r="41" spans="1:4" x14ac:dyDescent="0.25">
      <c r="A41" s="64" t="s">
        <v>52</v>
      </c>
      <c r="B41" s="54">
        <f>(B39)-B39*(B40/100)</f>
        <v>103333.33333333333</v>
      </c>
      <c r="C41" s="30" t="s">
        <v>11</v>
      </c>
      <c r="D41" s="64"/>
    </row>
    <row r="42" spans="1:4" x14ac:dyDescent="0.25">
      <c r="A42" s="64" t="str">
        <f>A58</f>
        <v>Minimalwert Toxizität (LC50/EC50)</v>
      </c>
      <c r="B42" s="54">
        <f>B11</f>
        <v>1</v>
      </c>
      <c r="C42" s="30" t="s">
        <v>11</v>
      </c>
      <c r="D42" s="64"/>
    </row>
    <row r="43" spans="1:4" x14ac:dyDescent="0.25">
      <c r="A43" s="64" t="s">
        <v>53</v>
      </c>
      <c r="B43" s="44" t="str">
        <f>IF(B12="schwer wasserlöslich und aufschwimmend","Nicht zutreffend",IF(B41&lt;=B42,"Nein","Ja"))</f>
        <v>Nicht zutreffend</v>
      </c>
      <c r="C43" s="45" t="s">
        <v>4</v>
      </c>
      <c r="D43" s="64" t="s">
        <v>46</v>
      </c>
    </row>
    <row r="44" spans="1:4" x14ac:dyDescent="0.25">
      <c r="B44" s="11"/>
      <c r="C44" s="10"/>
    </row>
    <row r="45" spans="1:4" x14ac:dyDescent="0.25">
      <c r="B45" s="11"/>
      <c r="C45" s="10"/>
    </row>
    <row r="46" spans="1:4" hidden="1" x14ac:dyDescent="0.25">
      <c r="A46" s="74" t="s">
        <v>18</v>
      </c>
      <c r="B46" s="4"/>
      <c r="C46" s="5"/>
      <c r="D46" s="71"/>
    </row>
    <row r="47" spans="1:4" hidden="1" x14ac:dyDescent="0.25">
      <c r="A47" s="75" t="str">
        <f>Eingabe!A7</f>
        <v>Allgemein</v>
      </c>
      <c r="B47" s="2" t="str">
        <f>Eingabe!B7</f>
        <v>Wert</v>
      </c>
      <c r="C47" t="str">
        <f>Eingabe!C7</f>
        <v>Einheit</v>
      </c>
    </row>
    <row r="48" spans="1:4" hidden="1" x14ac:dyDescent="0.25">
      <c r="A48" s="8" t="str">
        <f>Eingabe!A9</f>
        <v>Bezeichnung Gebinde / Stoff / Gemisch</v>
      </c>
      <c r="B48" s="3" t="str">
        <f>Eingabe!B9</f>
        <v>Benzin</v>
      </c>
      <c r="C48" t="str">
        <f>Eingabe!C9</f>
        <v>[-]</v>
      </c>
    </row>
    <row r="49" spans="1:3" hidden="1" x14ac:dyDescent="0.25">
      <c r="A49" s="8" t="str">
        <f>Eingabe!A12</f>
        <v>Gebindevolumen (maximal)</v>
      </c>
      <c r="B49" s="3">
        <f>Eingabe!B12</f>
        <v>5000</v>
      </c>
      <c r="C49" t="str">
        <f>Eingabe!C12</f>
        <v>[l]</v>
      </c>
    </row>
    <row r="50" spans="1:3" hidden="1" x14ac:dyDescent="0.25">
      <c r="A50" s="8" t="str">
        <f>Eingabe!A13</f>
        <v>Stoffkonzentration im Gemisch (maximal)</v>
      </c>
      <c r="B50" s="3">
        <f>Eingabe!B13</f>
        <v>10</v>
      </c>
      <c r="C50" t="str">
        <f>Eingabe!C13</f>
        <v>[%]</v>
      </c>
    </row>
    <row r="51" spans="1:3" hidden="1" x14ac:dyDescent="0.25">
      <c r="A51" s="8" t="str">
        <f>Eingabe!A14</f>
        <v>Eingeleitetes Volumen in Kanalisation / Gewässer</v>
      </c>
      <c r="B51" s="3">
        <f>Eingabe!B14</f>
        <v>5000</v>
      </c>
      <c r="C51" t="str">
        <f>Eingabe!C14</f>
        <v>[l]</v>
      </c>
    </row>
    <row r="52" spans="1:3" hidden="1" x14ac:dyDescent="0.25">
      <c r="A52" s="8" t="str">
        <f>Eingabe!A10</f>
        <v>Dichte Stoff / Gemisch</v>
      </c>
      <c r="B52" s="3">
        <f>Eingabe!B10</f>
        <v>0.62</v>
      </c>
      <c r="C52" t="str">
        <f>Eingabe!C10</f>
        <v>[kg/l], [g/ml]</v>
      </c>
    </row>
    <row r="53" spans="1:3" hidden="1" x14ac:dyDescent="0.25">
      <c r="A53" s="8" t="str">
        <f>Eingabe!A11</f>
        <v>Wasserlöslichkeit / Mischbarkeit</v>
      </c>
      <c r="B53" s="3" t="str">
        <f>Eingabe!B11</f>
        <v>schwer wasserlöslich und aufschwimmend</v>
      </c>
      <c r="C53" t="str">
        <f>Eingabe!C11</f>
        <v>[-]</v>
      </c>
    </row>
    <row r="54" spans="1:3" hidden="1" x14ac:dyDescent="0.25"/>
    <row r="55" spans="1:3" ht="30" hidden="1" x14ac:dyDescent="0.25">
      <c r="A55" s="75" t="str">
        <f>Eingabe!A16</f>
        <v>Stoff / Gemisch im Gewässer (Regenabwasserkanalisation oder Schmutzabwasserkanalisation mit Entlastungsmöglichkeit ins Gewässer)</v>
      </c>
    </row>
    <row r="56" spans="1:3" hidden="1" x14ac:dyDescent="0.25">
      <c r="A56" s="8" t="str">
        <f>Eingabe!A17</f>
        <v>Kurzzeittoxizität für Daphnien (LC50/EC50)</v>
      </c>
      <c r="B56" s="3">
        <f>Eingabe!B17</f>
        <v>1</v>
      </c>
      <c r="C56" t="str">
        <f>Eingabe!C17</f>
        <v>[mg/l]</v>
      </c>
    </row>
    <row r="57" spans="1:3" hidden="1" x14ac:dyDescent="0.25">
      <c r="A57" s="8" t="str">
        <f>Eingabe!A18</f>
        <v>Kurzzeittoxizität für Fische (LC50/EC50)</v>
      </c>
      <c r="B57" s="3">
        <f>Eingabe!B18</f>
        <v>5</v>
      </c>
      <c r="C57" t="str">
        <f>Eingabe!C18</f>
        <v>[mg/l]</v>
      </c>
    </row>
    <row r="58" spans="1:3" hidden="1" x14ac:dyDescent="0.25">
      <c r="A58" s="8" t="s">
        <v>103</v>
      </c>
      <c r="B58" s="3">
        <f>MIN(B56,B57)</f>
        <v>1</v>
      </c>
      <c r="C58" t="s">
        <v>11</v>
      </c>
    </row>
    <row r="59" spans="1:3" hidden="1" x14ac:dyDescent="0.25"/>
    <row r="60" spans="1:3" hidden="1" x14ac:dyDescent="0.25">
      <c r="A60" s="8" t="str">
        <f>Eingabe!A22</f>
        <v>Bezeichnung Abwasserreinigungsanlage (ARA)</v>
      </c>
      <c r="B60" s="3" t="str">
        <f>Eingabe!B22</f>
        <v>"Name ARA"</v>
      </c>
      <c r="C60" t="str">
        <f>Eingabe!C22</f>
        <v>[-]</v>
      </c>
    </row>
    <row r="61" spans="1:3" hidden="1" x14ac:dyDescent="0.25">
      <c r="A61" s="8" t="str">
        <f>Eingabe!A23</f>
        <v>Kurzzeittoxizität Belebtschlamm (Bakterientox.) (IC50, ...)</v>
      </c>
      <c r="B61" s="3">
        <f>Eingabe!B23</f>
        <v>15.41</v>
      </c>
      <c r="C61" t="str">
        <f>Eingabe!C23</f>
        <v>[mg/l]</v>
      </c>
    </row>
    <row r="62" spans="1:3" ht="17.25" hidden="1" x14ac:dyDescent="0.25">
      <c r="A62" s="8" t="str">
        <f>Eingabe!A25</f>
        <v>Volumen Vorklärung total</v>
      </c>
      <c r="B62" s="3">
        <f>Eingabe!B25</f>
        <v>1</v>
      </c>
      <c r="C62" t="s">
        <v>105</v>
      </c>
    </row>
    <row r="63" spans="1:3" ht="17.25" hidden="1" x14ac:dyDescent="0.25">
      <c r="A63" s="8" t="str">
        <f>Eingabe!A26</f>
        <v>Volumen Biologie total</v>
      </c>
      <c r="B63" s="3">
        <f>Eingabe!B26</f>
        <v>1</v>
      </c>
      <c r="C63" t="s">
        <v>105</v>
      </c>
    </row>
    <row r="64" spans="1:3" ht="17.25" hidden="1" x14ac:dyDescent="0.25">
      <c r="A64" s="8" t="str">
        <f>Eingabe!A27</f>
        <v>Volumen Nachklärung total</v>
      </c>
      <c r="B64" s="3">
        <f>Eingabe!B27</f>
        <v>1</v>
      </c>
      <c r="C64" t="s">
        <v>105</v>
      </c>
    </row>
    <row r="65" spans="1:3" hidden="1" x14ac:dyDescent="0.25">
      <c r="A65" s="8" t="str">
        <f>Eingabe!A28</f>
        <v>Eventueller Stoffrückhalt durch ARA</v>
      </c>
      <c r="B65" s="3">
        <f>Eingabe!B28</f>
        <v>0</v>
      </c>
      <c r="C65" t="str">
        <f>Eingabe!C28</f>
        <v>[%]</v>
      </c>
    </row>
  </sheetData>
  <sheetProtection algorithmName="SHA-512" hashValue="C7BZjCLlOHXN8MOi35I/H8jfssJNeuEVJudVtO5ZXleRjIA8qalZWqQKXvhjRYMOID1ciZgj9MZzN41Z1di0PA==" saltValue="NiTGG/I1Ocl8v0aBGlMNoA==" spinCount="100000" sheet="1" objects="1" scenarios="1"/>
  <conditionalFormatting sqref="A15:D19">
    <cfRule type="expression" dxfId="2" priority="2">
      <formula>IF($B$12="schwer wasserlöslich und aufschwimmend",TRUE,FALSE)</formula>
    </cfRule>
  </conditionalFormatting>
  <conditionalFormatting sqref="A21:D27">
    <cfRule type="expression" dxfId="1" priority="3">
      <formula>IF($B$12="wasserlöslich",TRUE,FALSE)</formula>
    </cfRule>
  </conditionalFormatting>
  <conditionalFormatting sqref="A30:D43">
    <cfRule type="expression" dxfId="0" priority="1">
      <formula>IF($B$12="schwer wasserlöslich und aufschwimmend",TRUE,FALSE)</formula>
    </cfRule>
  </conditionalFormatting>
  <pageMargins left="0.7" right="0.7" top="0.78740157499999996" bottom="0.78740157499999996" header="0.3" footer="0.3"/>
  <pageSetup paperSize="9" scale="7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L33"/>
  <sheetViews>
    <sheetView zoomScale="90" zoomScaleNormal="90" workbookViewId="0">
      <pane ySplit="7" topLeftCell="A8" activePane="bottomLeft" state="frozen"/>
      <selection pane="bottomLeft" activeCell="D18" sqref="D18"/>
    </sheetView>
  </sheetViews>
  <sheetFormatPr baseColWidth="10" defaultRowHeight="15" x14ac:dyDescent="0.25"/>
  <cols>
    <col min="1" max="1" width="14.140625" style="7" bestFit="1" customWidth="1"/>
    <col min="2" max="2" width="10.85546875" style="7" bestFit="1" customWidth="1"/>
    <col min="3" max="3" width="42.28515625" style="7" customWidth="1"/>
    <col min="4" max="4" width="17.5703125" style="7" customWidth="1"/>
    <col min="5" max="5" width="14" style="7" customWidth="1"/>
    <col min="6" max="6" width="11" style="6" customWidth="1"/>
    <col min="7" max="7" width="14.85546875" style="6" customWidth="1"/>
    <col min="8" max="8" width="17" style="6" customWidth="1"/>
    <col min="9" max="9" width="24" style="6" customWidth="1"/>
  </cols>
  <sheetData>
    <row r="1" spans="1:12" ht="22.5" x14ac:dyDescent="0.45">
      <c r="A1" s="78" t="s">
        <v>112</v>
      </c>
      <c r="B1" s="55"/>
      <c r="C1" s="55"/>
      <c r="D1" s="55"/>
      <c r="E1" s="55"/>
      <c r="F1" s="56"/>
      <c r="G1" s="56"/>
      <c r="H1" s="56"/>
      <c r="I1" s="56"/>
    </row>
    <row r="2" spans="1:12" x14ac:dyDescent="0.25">
      <c r="A2" s="18" t="str">
        <f>Informationen!A2</f>
        <v>Stand: 16. August 2024</v>
      </c>
      <c r="B2" s="57"/>
      <c r="C2" s="57"/>
      <c r="D2" s="57"/>
      <c r="E2" s="57"/>
      <c r="F2" s="58"/>
      <c r="G2" s="58"/>
      <c r="H2" s="58"/>
      <c r="I2" s="58"/>
    </row>
    <row r="3" spans="1:12" x14ac:dyDescent="0.25">
      <c r="A3" s="18"/>
      <c r="B3" s="57"/>
      <c r="C3" s="57"/>
      <c r="D3" s="57"/>
      <c r="E3" s="57"/>
      <c r="F3" s="58"/>
      <c r="G3" s="58"/>
      <c r="H3" s="58"/>
      <c r="I3" s="58"/>
    </row>
    <row r="4" spans="1:12" x14ac:dyDescent="0.25">
      <c r="A4" s="18"/>
      <c r="B4" s="57"/>
      <c r="C4" s="57"/>
      <c r="D4" s="57"/>
      <c r="E4" s="57"/>
      <c r="F4" s="58"/>
      <c r="G4" s="58"/>
      <c r="H4" s="58"/>
      <c r="I4" s="58"/>
    </row>
    <row r="5" spans="1:12" x14ac:dyDescent="0.25">
      <c r="A5" s="18"/>
      <c r="B5" s="57"/>
      <c r="C5" s="57"/>
      <c r="D5" s="57"/>
      <c r="E5" s="57"/>
      <c r="F5" s="58"/>
      <c r="G5" s="58"/>
      <c r="H5" s="58"/>
      <c r="I5" s="58"/>
    </row>
    <row r="6" spans="1:12" x14ac:dyDescent="0.25">
      <c r="A6" s="57"/>
      <c r="B6" s="57"/>
      <c r="C6" s="57"/>
      <c r="D6" s="57"/>
      <c r="E6" s="57"/>
      <c r="F6" s="58"/>
      <c r="G6" s="58"/>
      <c r="H6" s="58"/>
      <c r="I6" s="58"/>
    </row>
    <row r="7" spans="1:12" s="1" customFormat="1" ht="63" x14ac:dyDescent="0.25">
      <c r="A7" s="84" t="s">
        <v>20</v>
      </c>
      <c r="B7" s="84" t="s">
        <v>1</v>
      </c>
      <c r="C7" s="84"/>
      <c r="D7" s="84" t="s">
        <v>60</v>
      </c>
      <c r="E7" s="84" t="s">
        <v>44</v>
      </c>
      <c r="F7" s="84" t="s">
        <v>37</v>
      </c>
      <c r="G7" s="84" t="s">
        <v>38</v>
      </c>
      <c r="H7" s="84" t="s">
        <v>39</v>
      </c>
      <c r="I7" s="84" t="s">
        <v>125</v>
      </c>
    </row>
    <row r="8" spans="1:12" x14ac:dyDescent="0.25">
      <c r="A8" s="59" t="s">
        <v>33</v>
      </c>
      <c r="B8" s="59" t="s">
        <v>81</v>
      </c>
      <c r="C8" s="59" t="s">
        <v>43</v>
      </c>
      <c r="D8" s="59">
        <v>100</v>
      </c>
      <c r="E8" s="59">
        <v>20000</v>
      </c>
      <c r="F8" s="60">
        <v>0.79</v>
      </c>
      <c r="G8" s="60">
        <f>1000*5.54</f>
        <v>5540</v>
      </c>
      <c r="H8" s="60">
        <v>2100</v>
      </c>
      <c r="I8" s="60">
        <v>61150</v>
      </c>
    </row>
    <row r="9" spans="1:12" x14ac:dyDescent="0.25">
      <c r="A9" s="59" t="s">
        <v>88</v>
      </c>
      <c r="B9" s="59" t="s">
        <v>89</v>
      </c>
      <c r="C9" s="59" t="s">
        <v>43</v>
      </c>
      <c r="D9" s="59">
        <v>35</v>
      </c>
      <c r="E9" s="59">
        <v>2000</v>
      </c>
      <c r="F9" s="60">
        <v>0.88</v>
      </c>
      <c r="G9" s="60">
        <v>0.75</v>
      </c>
      <c r="H9" s="60">
        <v>101</v>
      </c>
      <c r="I9" s="60">
        <v>2700</v>
      </c>
    </row>
    <row r="10" spans="1:12" x14ac:dyDescent="0.25">
      <c r="A10" s="59" t="s">
        <v>22</v>
      </c>
      <c r="B10" s="59" t="s">
        <v>30</v>
      </c>
      <c r="C10" s="59" t="s">
        <v>70</v>
      </c>
      <c r="D10" s="59">
        <v>100</v>
      </c>
      <c r="E10" s="59">
        <v>200000</v>
      </c>
      <c r="F10" s="60">
        <v>0.62</v>
      </c>
      <c r="G10" s="60">
        <v>8.1999999999999993</v>
      </c>
      <c r="H10" s="60">
        <v>4.5</v>
      </c>
      <c r="I10" s="60">
        <v>15.41</v>
      </c>
    </row>
    <row r="11" spans="1:12" x14ac:dyDescent="0.25">
      <c r="A11" s="59" t="s">
        <v>21</v>
      </c>
      <c r="B11" s="59" t="s">
        <v>28</v>
      </c>
      <c r="C11" s="59" t="s">
        <v>43</v>
      </c>
      <c r="D11" s="59">
        <v>100</v>
      </c>
      <c r="E11" s="59">
        <v>200</v>
      </c>
      <c r="F11" s="60">
        <v>0.69</v>
      </c>
      <c r="G11" s="60">
        <v>2.5000000000000001E-2</v>
      </c>
      <c r="H11" s="60">
        <v>0.13</v>
      </c>
      <c r="I11" s="60">
        <v>0.16</v>
      </c>
    </row>
    <row r="12" spans="1:12" x14ac:dyDescent="0.25">
      <c r="A12" s="59" t="s">
        <v>26</v>
      </c>
      <c r="B12" s="59" t="s">
        <v>31</v>
      </c>
      <c r="C12" s="59" t="s">
        <v>70</v>
      </c>
      <c r="D12" s="59">
        <v>100</v>
      </c>
      <c r="E12" s="59">
        <v>500000</v>
      </c>
      <c r="F12" s="60">
        <v>0.8</v>
      </c>
      <c r="G12" s="60">
        <v>100</v>
      </c>
      <c r="H12" s="60">
        <v>180</v>
      </c>
      <c r="I12" s="60">
        <v>10</v>
      </c>
      <c r="L12" s="12"/>
    </row>
    <row r="13" spans="1:12" x14ac:dyDescent="0.25">
      <c r="A13" s="59" t="s">
        <v>35</v>
      </c>
      <c r="B13" s="59" t="s">
        <v>83</v>
      </c>
      <c r="C13" s="59" t="s">
        <v>43</v>
      </c>
      <c r="D13" s="59">
        <v>100</v>
      </c>
      <c r="E13" s="59">
        <v>20000</v>
      </c>
      <c r="F13" s="60">
        <v>0.78500000000000003</v>
      </c>
      <c r="G13" s="60">
        <v>14200</v>
      </c>
      <c r="H13" s="60">
        <v>10000</v>
      </c>
      <c r="I13" s="60">
        <v>5800</v>
      </c>
      <c r="L13" s="12"/>
    </row>
    <row r="14" spans="1:12" x14ac:dyDescent="0.25">
      <c r="A14" s="59" t="s">
        <v>32</v>
      </c>
      <c r="B14" s="59" t="s">
        <v>87</v>
      </c>
      <c r="C14" s="59" t="s">
        <v>43</v>
      </c>
      <c r="D14" s="59">
        <v>100</v>
      </c>
      <c r="E14" s="59" t="s">
        <v>45</v>
      </c>
      <c r="F14" s="60">
        <v>1.2609999999999999</v>
      </c>
      <c r="G14" s="60">
        <v>54000</v>
      </c>
      <c r="H14" s="60">
        <v>10000</v>
      </c>
      <c r="I14" s="60">
        <v>10000</v>
      </c>
      <c r="L14" s="13"/>
    </row>
    <row r="15" spans="1:12" x14ac:dyDescent="0.25">
      <c r="A15" s="59" t="s">
        <v>27</v>
      </c>
      <c r="B15" s="59" t="s">
        <v>86</v>
      </c>
      <c r="C15" s="59" t="s">
        <v>70</v>
      </c>
      <c r="D15" s="59">
        <v>100</v>
      </c>
      <c r="E15" s="59">
        <v>500000</v>
      </c>
      <c r="F15" s="60">
        <v>0.8</v>
      </c>
      <c r="G15" s="60">
        <v>100</v>
      </c>
      <c r="H15" s="60">
        <v>180</v>
      </c>
      <c r="I15" s="60">
        <v>10</v>
      </c>
      <c r="L15" s="13"/>
    </row>
    <row r="16" spans="1:12" x14ac:dyDescent="0.25">
      <c r="A16" s="59" t="s">
        <v>25</v>
      </c>
      <c r="B16" s="59" t="s">
        <v>85</v>
      </c>
      <c r="C16" s="59" t="s">
        <v>70</v>
      </c>
      <c r="D16" s="59">
        <v>100</v>
      </c>
      <c r="E16" s="59">
        <v>2000</v>
      </c>
      <c r="F16" s="60">
        <v>0.69</v>
      </c>
      <c r="G16" s="60">
        <v>5.7380000000000004</v>
      </c>
      <c r="H16" s="60">
        <v>1.5</v>
      </c>
      <c r="I16" s="60">
        <v>4.3380000000000001</v>
      </c>
      <c r="L16" s="14"/>
    </row>
    <row r="17" spans="1:12" x14ac:dyDescent="0.25">
      <c r="A17" s="59" t="s">
        <v>24</v>
      </c>
      <c r="B17" s="59" t="s">
        <v>84</v>
      </c>
      <c r="C17" s="59" t="s">
        <v>70</v>
      </c>
      <c r="D17" s="59">
        <v>100</v>
      </c>
      <c r="E17" s="59">
        <v>20000</v>
      </c>
      <c r="F17" s="60">
        <v>0.66100000000000003</v>
      </c>
      <c r="G17" s="60">
        <v>12.51</v>
      </c>
      <c r="H17" s="60">
        <v>21.85</v>
      </c>
      <c r="I17" s="60">
        <v>9.2850000000000001</v>
      </c>
      <c r="L17" s="13"/>
    </row>
    <row r="18" spans="1:12" x14ac:dyDescent="0.25">
      <c r="A18" s="59" t="s">
        <v>34</v>
      </c>
      <c r="B18" s="59" t="s">
        <v>82</v>
      </c>
      <c r="C18" s="59" t="s">
        <v>43</v>
      </c>
      <c r="D18" s="59">
        <v>100</v>
      </c>
      <c r="E18" s="59">
        <v>2000</v>
      </c>
      <c r="F18" s="60">
        <v>0.79</v>
      </c>
      <c r="G18" s="60">
        <v>15400</v>
      </c>
      <c r="H18" s="60">
        <v>18260</v>
      </c>
      <c r="I18" s="60">
        <v>1000</v>
      </c>
      <c r="L18" s="13"/>
    </row>
    <row r="19" spans="1:12" x14ac:dyDescent="0.25">
      <c r="A19" s="59" t="s">
        <v>23</v>
      </c>
      <c r="B19" s="59" t="s">
        <v>29</v>
      </c>
      <c r="C19" s="59" t="s">
        <v>70</v>
      </c>
      <c r="D19" s="59">
        <v>100</v>
      </c>
      <c r="E19" s="59">
        <v>20000</v>
      </c>
      <c r="F19" s="60">
        <v>0.86</v>
      </c>
      <c r="G19" s="60">
        <v>2.6</v>
      </c>
      <c r="H19" s="60">
        <v>1</v>
      </c>
      <c r="I19" s="60">
        <v>2.2000000000000002</v>
      </c>
      <c r="L19" s="12"/>
    </row>
    <row r="20" spans="1:12" x14ac:dyDescent="0.25">
      <c r="A20" s="59" t="s">
        <v>5</v>
      </c>
      <c r="B20" s="59"/>
      <c r="C20" s="59"/>
      <c r="D20" s="59"/>
      <c r="E20" s="59"/>
      <c r="F20" s="60"/>
      <c r="G20" s="60"/>
      <c r="H20" s="60"/>
      <c r="I20" s="60"/>
      <c r="L20" s="12"/>
    </row>
    <row r="21" spans="1:12" x14ac:dyDescent="0.25">
      <c r="A21" s="59"/>
      <c r="B21" s="59"/>
      <c r="C21" s="59"/>
      <c r="D21" s="59"/>
      <c r="E21" s="59"/>
      <c r="F21" s="60"/>
      <c r="G21" s="60"/>
      <c r="H21" s="60"/>
      <c r="I21" s="60"/>
      <c r="L21" s="13"/>
    </row>
    <row r="22" spans="1:12" x14ac:dyDescent="0.25">
      <c r="A22" s="59"/>
      <c r="B22" s="59"/>
      <c r="C22" s="59"/>
      <c r="D22" s="59"/>
      <c r="E22" s="59"/>
      <c r="F22" s="60"/>
      <c r="G22" s="60"/>
      <c r="H22" s="60"/>
      <c r="I22" s="60"/>
    </row>
    <row r="23" spans="1:12" x14ac:dyDescent="0.25">
      <c r="A23" s="57"/>
      <c r="B23" s="57"/>
      <c r="C23" s="57"/>
      <c r="D23" s="57"/>
      <c r="E23" s="57"/>
      <c r="F23" s="58"/>
      <c r="G23" s="58"/>
      <c r="H23" s="58"/>
      <c r="I23" s="58"/>
    </row>
    <row r="24" spans="1:12" x14ac:dyDescent="0.25">
      <c r="A24" s="57"/>
      <c r="B24" s="57"/>
      <c r="C24" s="57"/>
      <c r="D24" s="57"/>
      <c r="E24" s="57"/>
      <c r="F24" s="58"/>
      <c r="G24" s="58"/>
      <c r="H24" s="58"/>
      <c r="I24" s="58"/>
    </row>
    <row r="25" spans="1:12" x14ac:dyDescent="0.25">
      <c r="A25" s="57"/>
      <c r="B25" s="57"/>
      <c r="C25" s="57"/>
      <c r="D25" s="57"/>
      <c r="E25" s="57"/>
      <c r="F25" s="58"/>
      <c r="G25" s="58"/>
      <c r="H25" s="58"/>
      <c r="I25" s="58"/>
    </row>
    <row r="26" spans="1:12" x14ac:dyDescent="0.25">
      <c r="A26" s="57"/>
      <c r="B26" s="57"/>
      <c r="C26" s="57"/>
      <c r="D26" s="57"/>
      <c r="E26" s="57"/>
      <c r="F26" s="58"/>
      <c r="G26" s="58"/>
      <c r="H26" s="58"/>
      <c r="I26" s="58"/>
    </row>
    <row r="27" spans="1:12" x14ac:dyDescent="0.25">
      <c r="A27" s="57"/>
      <c r="B27" s="57"/>
      <c r="C27" s="57"/>
      <c r="D27" s="57"/>
      <c r="E27" s="57"/>
      <c r="F27" s="58"/>
      <c r="G27" s="58"/>
      <c r="H27" s="58"/>
      <c r="I27" s="58"/>
    </row>
    <row r="28" spans="1:12" x14ac:dyDescent="0.25">
      <c r="A28" s="57"/>
      <c r="B28" s="57"/>
      <c r="C28" s="57"/>
      <c r="D28" s="57"/>
      <c r="E28" s="57"/>
      <c r="F28" s="58"/>
      <c r="G28" s="58"/>
      <c r="H28" s="58"/>
      <c r="I28" s="58"/>
    </row>
    <row r="29" spans="1:12" x14ac:dyDescent="0.25">
      <c r="A29" s="57"/>
      <c r="B29" s="57"/>
      <c r="C29" s="57"/>
      <c r="D29" s="57"/>
      <c r="E29" s="57"/>
      <c r="F29" s="58"/>
      <c r="G29" s="58"/>
      <c r="H29" s="58"/>
      <c r="I29" s="58"/>
    </row>
    <row r="30" spans="1:12" x14ac:dyDescent="0.25">
      <c r="A30" s="57"/>
      <c r="B30" s="57"/>
      <c r="C30" s="57"/>
      <c r="D30" s="57"/>
      <c r="E30" s="57"/>
      <c r="F30" s="58"/>
      <c r="G30" s="58"/>
      <c r="H30" s="58"/>
      <c r="I30" s="58"/>
    </row>
    <row r="31" spans="1:12" x14ac:dyDescent="0.25">
      <c r="A31" s="57"/>
      <c r="B31" s="57"/>
      <c r="C31" s="57"/>
      <c r="D31" s="57"/>
      <c r="E31" s="57"/>
      <c r="F31" s="58"/>
      <c r="G31" s="58"/>
      <c r="H31" s="58"/>
      <c r="I31" s="58"/>
    </row>
    <row r="32" spans="1:12" x14ac:dyDescent="0.25">
      <c r="A32" s="61"/>
      <c r="B32" s="61"/>
      <c r="C32" s="61"/>
      <c r="D32" s="61"/>
      <c r="E32" s="61"/>
      <c r="F32" s="62"/>
      <c r="G32" s="62"/>
      <c r="H32" s="62"/>
      <c r="I32" s="62"/>
    </row>
    <row r="33" spans="1:9" x14ac:dyDescent="0.25">
      <c r="A33" s="61"/>
      <c r="B33" s="61"/>
      <c r="C33" s="61"/>
      <c r="D33" s="61"/>
      <c r="E33" s="61"/>
      <c r="F33" s="62"/>
      <c r="G33" s="62"/>
      <c r="H33" s="62"/>
      <c r="I33" s="62"/>
    </row>
  </sheetData>
  <sheetProtection algorithmName="SHA-512" hashValue="PEU6LR1X+COUFcHaCuaeExGQKmZ6XZIApgINz1X3UJNarSq66wlxlo4jrgK2T7a2A3LH7cm6QLnNJJIE5d+NVg==" saltValue="K9ky867rsAddtV8an0NnEA==" spinCount="100000" sheet="1" objects="1" scenarios="1"/>
  <autoFilter ref="A7:I22" xr:uid="{00000000-0009-0000-0000-000003000000}">
    <sortState xmlns:xlrd2="http://schemas.microsoft.com/office/spreadsheetml/2017/richdata2" ref="A3:K18">
      <sortCondition ref="A2:A18"/>
    </sortState>
  </autoFilter>
  <pageMargins left="0.7" right="0.7" top="0.78740157499999996" bottom="0.78740157499999996" header="0.3" footer="0.3"/>
  <pageSetup paperSize="9" scale="79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"/>
  <sheetViews>
    <sheetView workbookViewId="0">
      <selection activeCell="E5" sqref="E5"/>
    </sheetView>
  </sheetViews>
  <sheetFormatPr baseColWidth="10" defaultRowHeight="15" x14ac:dyDescent="0.25"/>
  <sheetData>
    <row r="1" spans="1:5" x14ac:dyDescent="0.25">
      <c r="A1" t="s">
        <v>17</v>
      </c>
      <c r="C1" t="s">
        <v>68</v>
      </c>
    </row>
    <row r="2" spans="1:5" x14ac:dyDescent="0.25">
      <c r="A2" t="s">
        <v>65</v>
      </c>
      <c r="C2">
        <v>1</v>
      </c>
      <c r="E2" t="s">
        <v>43</v>
      </c>
    </row>
    <row r="3" spans="1:5" x14ac:dyDescent="0.25">
      <c r="A3" t="s">
        <v>66</v>
      </c>
      <c r="C3">
        <v>2</v>
      </c>
      <c r="E3" t="s">
        <v>70</v>
      </c>
    </row>
    <row r="4" spans="1:5" x14ac:dyDescent="0.25">
      <c r="A4" t="s">
        <v>67</v>
      </c>
      <c r="C4">
        <v>3</v>
      </c>
      <c r="E4" t="s">
        <v>5</v>
      </c>
    </row>
    <row r="5" spans="1:5" x14ac:dyDescent="0.25">
      <c r="A5" t="s">
        <v>5</v>
      </c>
      <c r="C5" t="s">
        <v>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Informationen</vt:lpstr>
      <vt:lpstr>Eingabe</vt:lpstr>
      <vt:lpstr>Resultate</vt:lpstr>
      <vt:lpstr>Substanzdaten</vt:lpstr>
      <vt:lpstr>Dropdown</vt:lpstr>
      <vt:lpstr>Eingabe!Druckbereich</vt:lpstr>
      <vt:lpstr>Informationen!Druckbereich</vt:lpstr>
      <vt:lpstr>Resultate!Druckbereich</vt:lpstr>
      <vt:lpstr>Substanzdaten!Druckbereich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2024-08-20T06:41:26Z</dcterms:modified>
</cp:coreProperties>
</file>